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Expenses" sheetId="2" state="visible" r:id="rId2"/>
    <sheet name="Income" sheetId="3" state="visible" r:id="rId3"/>
    <sheet name="Tax category guide" sheetId="4" state="visible" r:id="rId4"/>
  </sheets>
  <definedNames>
    <definedName name="_xlnm.Print_Area" localSheetId="0">'Summary'!$A$1:$B$75</definedName>
    <definedName name="_xlnm.Print_Titles" localSheetId="1">'Expenses'!$1:$1</definedName>
    <definedName name="_xlnm.Print_Area" localSheetId="1">'Expenses'!$A$1:$I$33</definedName>
    <definedName name="_xlnm.Print_Titles" localSheetId="2">'Income'!$1:$1</definedName>
    <definedName name="_xlnm.Print_Area" localSheetId="2">'Income'!$A$1:$H$11</definedName>
    <definedName name="_xlnm.Print_Area" localSheetId="3">'Tax category guide'!$A$1:$B$46</definedName>
  </definedNames>
  <calcPr calcId="124519" fullCalcOnLoad="1"/>
</workbook>
</file>

<file path=xl/styles.xml><?xml version="1.0" encoding="utf-8"?>
<styleSheet xmlns="http://schemas.openxmlformats.org/spreadsheetml/2006/main">
  <numFmts count="4">
    <numFmt numFmtId="164" formatCode="&quot;£&quot;#,##0.00"/>
    <numFmt numFmtId="165" formatCode="yyyy-mm-dd"/>
    <numFmt numFmtId="166" formatCode="dd mmm yy"/>
    <numFmt numFmtId="167" formatCode="0&quot;%&quot;"/>
  </numFmts>
  <fonts count="17">
    <font>
      <name val="Calibri"/>
      <family val="2"/>
      <color theme="1"/>
      <sz val="11"/>
      <scheme val="minor"/>
    </font>
    <font>
      <name val="Calibri"/>
      <b val="1"/>
      <color rgb="001C1A17"/>
      <sz val="18"/>
    </font>
    <font>
      <name val="Calibri"/>
      <b val="1"/>
      <color rgb="00E1442A"/>
      <sz val="10"/>
    </font>
    <font>
      <name val="Calibri"/>
      <color rgb="008A8377"/>
      <sz val="10"/>
    </font>
    <font>
      <name val="Calibri"/>
      <b val="1"/>
      <color rgb="001C1A17"/>
      <sz val="10"/>
    </font>
    <font>
      <name val="Calibri"/>
      <color rgb="001A9D4B"/>
      <sz val="11"/>
    </font>
    <font>
      <name val="Calibri"/>
      <b val="1"/>
      <color rgb="001C1A17"/>
      <sz val="11"/>
    </font>
    <font>
      <name val="Calibri"/>
      <b val="1"/>
      <color rgb="001A9D4B"/>
      <sz val="11"/>
    </font>
    <font>
      <name val="Calibri"/>
      <color rgb="001C1A17"/>
      <sz val="11"/>
    </font>
    <font>
      <name val="Calibri"/>
      <color rgb="00E1442A"/>
      <sz val="11"/>
    </font>
    <font>
      <name val="Calibri"/>
      <b val="1"/>
      <color rgb="00E1442A"/>
      <sz val="11"/>
    </font>
    <font>
      <name val="Calibri"/>
      <sz val="10"/>
    </font>
    <font>
      <name val="Calibri"/>
      <color rgb="008A8377"/>
      <sz val="11"/>
    </font>
    <font>
      <name val="Calibri"/>
      <color rgb="001C1A17"/>
      <sz val="10"/>
    </font>
    <font>
      <name val="Calibri"/>
      <b val="1"/>
      <color rgb="00FFFFFF"/>
      <sz val="10"/>
    </font>
    <font>
      <name val="Calibri"/>
      <b val="1"/>
      <sz val="10"/>
    </font>
    <font>
      <name val="Calibri"/>
      <b val="1"/>
      <color rgb="001C1A17"/>
      <sz val="16"/>
    </font>
  </fonts>
  <fills count="7">
    <fill>
      <patternFill/>
    </fill>
    <fill>
      <patternFill patternType="gray125"/>
    </fill>
    <fill>
      <patternFill patternType="solid">
        <fgColor rgb="00E1442A"/>
      </patternFill>
    </fill>
    <fill>
      <patternFill patternType="solid">
        <fgColor rgb="00F3EFE7"/>
      </patternFill>
    </fill>
    <fill>
      <patternFill patternType="solid">
        <fgColor rgb="001C1A17"/>
      </patternFill>
    </fill>
    <fill>
      <patternFill patternType="solid">
        <fgColor rgb="00FBEED3"/>
      </patternFill>
    </fill>
    <fill>
      <patternFill patternType="solid">
        <fgColor rgb="00F9DDD6"/>
      </patternFill>
    </fill>
  </fills>
  <borders count="9">
    <border>
      <left/>
      <right/>
      <top/>
      <bottom/>
      <diagonal/>
    </border>
    <border>
      <left style="thin">
        <color rgb="00E7E1D4"/>
      </left>
      <top style="thin">
        <color rgb="00E7E1D4"/>
      </top>
      <bottom style="thin">
        <color rgb="00E7E1D4"/>
      </bottom>
    </border>
    <border>
      <right style="thin">
        <color rgb="00E7E1D4"/>
      </right>
      <top style="thin">
        <color rgb="00E7E1D4"/>
      </top>
      <bottom style="thin">
        <color rgb="00E7E1D4"/>
      </bottom>
    </border>
    <border>
      <left style="thin">
        <color rgb="00E7E1D4"/>
      </left>
      <right style="thin">
        <color rgb="00E7E1D4"/>
      </right>
      <top style="thin">
        <color rgb="00E7E1D4"/>
      </top>
      <bottom style="thin">
        <color rgb="00E7E1D4"/>
      </bottom>
    </border>
    <border>
      <left/>
      <right/>
      <top style="thin">
        <color rgb="00E7E1D4"/>
      </top>
      <bottom/>
      <diagonal/>
    </border>
    <border>
      <left/>
      <right style="thin">
        <color rgb="00E7E1D4"/>
      </right>
      <top style="thin">
        <color rgb="00E7E1D4"/>
      </top>
      <bottom/>
      <diagonal/>
    </border>
    <border>
      <left/>
      <right style="thin">
        <color rgb="00E7E1D4"/>
      </right>
      <top style="thin">
        <color rgb="00E7E1D4"/>
      </top>
      <bottom style="thin">
        <color rgb="00E7E1D4"/>
      </bottom>
      <diagonal/>
    </border>
    <border>
      <bottom style="thin">
        <color rgb="00E7E1D4"/>
      </bottom>
    </border>
    <border>
      <left style="thin">
        <color rgb="004A463F"/>
      </left>
      <bottom style="thin">
        <color rgb="00E7E1D4"/>
      </bottom>
    </border>
  </borders>
  <cellStyleXfs count="1">
    <xf numFmtId="0" fontId="0" fillId="0" borderId="0"/>
  </cellStyleXfs>
  <cellXfs count="56">
    <xf numFmtId="0" fontId="0" fillId="0" borderId="0" pivotButton="0" quotePrefix="0" xfId="0"/>
    <xf numFmtId="0" fontId="1" fillId="0" borderId="0" pivotButton="0" quotePrefix="0" xfId="0"/>
    <xf numFmtId="0" fontId="2" fillId="0" borderId="0" applyAlignment="1" pivotButton="0" quotePrefix="0" xfId="0">
      <alignment horizontal="right"/>
    </xf>
    <xf numFmtId="0" fontId="0" fillId="2" borderId="0" pivotButton="0" quotePrefix="0" xfId="0"/>
    <xf numFmtId="0" fontId="3" fillId="0" borderId="0" pivotButton="0" quotePrefix="0" xfId="0"/>
    <xf numFmtId="0" fontId="4" fillId="0" borderId="0" applyAlignment="1" pivotButton="0" quotePrefix="0" xfId="0">
      <alignment horizontal="right" vertical="top" wrapText="1"/>
    </xf>
    <xf numFmtId="0" fontId="5" fillId="3" borderId="1" pivotButton="0" quotePrefix="0" xfId="0"/>
    <xf numFmtId="164" fontId="7" fillId="3" borderId="2" applyAlignment="1" pivotButton="0" quotePrefix="0" xfId="0">
      <alignment horizontal="right"/>
    </xf>
    <xf numFmtId="0" fontId="8" fillId="3" borderId="1" pivotButton="0" quotePrefix="0" xfId="0"/>
    <xf numFmtId="164" fontId="6" fillId="3" borderId="2" applyAlignment="1" pivotButton="0" quotePrefix="0" xfId="0">
      <alignment horizontal="right"/>
    </xf>
    <xf numFmtId="0" fontId="9" fillId="3" borderId="1" pivotButton="0" quotePrefix="0" xfId="0"/>
    <xf numFmtId="164" fontId="10" fillId="3" borderId="2" applyAlignment="1" pivotButton="0" quotePrefix="0" xfId="0">
      <alignment horizontal="right"/>
    </xf>
    <xf numFmtId="0" fontId="6" fillId="3" borderId="1" pivotButton="0" quotePrefix="0" xfId="0"/>
    <xf numFmtId="0" fontId="6" fillId="0" borderId="0" applyAlignment="1" pivotButton="0" quotePrefix="0" xfId="0">
      <alignment vertical="top" wrapText="1"/>
    </xf>
    <xf numFmtId="0" fontId="11" fillId="0" borderId="0" pivotButton="0" quotePrefix="0" xfId="0"/>
    <xf numFmtId="164" fontId="0" fillId="0" borderId="0" applyAlignment="1" pivotButton="0" quotePrefix="0" xfId="0">
      <alignment horizontal="right"/>
    </xf>
    <xf numFmtId="0" fontId="12" fillId="0" borderId="0" applyAlignment="1" pivotButton="0" quotePrefix="0" xfId="0">
      <alignment vertical="top" wrapText="1"/>
    </xf>
    <xf numFmtId="0" fontId="13" fillId="3" borderId="3" applyAlignment="1" pivotButton="0" quotePrefix="0" xfId="0">
      <alignment vertical="top" wrapText="1"/>
    </xf>
    <xf numFmtId="0" fontId="0" fillId="0" borderId="6" pivotButton="0" quotePrefix="0" xfId="0"/>
    <xf numFmtId="0" fontId="14" fillId="4" borderId="0" pivotButton="0" quotePrefix="0" xfId="0"/>
    <xf numFmtId="0" fontId="14" fillId="4" borderId="0" applyAlignment="1" pivotButton="0" quotePrefix="0" xfId="0">
      <alignment horizontal="right"/>
    </xf>
    <xf numFmtId="0" fontId="2" fillId="0" borderId="0" pivotButton="0" quotePrefix="0" xfId="0"/>
    <xf numFmtId="164" fontId="6" fillId="0" borderId="0" applyAlignment="1" pivotButton="0" quotePrefix="0" xfId="0">
      <alignment horizontal="right"/>
    </xf>
    <xf numFmtId="0" fontId="15" fillId="0" borderId="0" pivotButton="0" quotePrefix="0" xfId="0"/>
    <xf numFmtId="0" fontId="12" fillId="0" borderId="3" applyAlignment="1" pivotButton="0" quotePrefix="0" xfId="0">
      <alignment vertical="top" wrapText="1"/>
    </xf>
    <xf numFmtId="0" fontId="14" fillId="4" borderId="7" pivotButton="0" quotePrefix="0" xfId="0"/>
    <xf numFmtId="0" fontId="14" fillId="4" borderId="8" pivotButton="0" quotePrefix="0" xfId="0"/>
    <xf numFmtId="0" fontId="14" fillId="4" borderId="8" applyAlignment="1" pivotButton="0" quotePrefix="0" xfId="0">
      <alignment horizontal="right"/>
    </xf>
    <xf numFmtId="166" fontId="0" fillId="3" borderId="0" pivotButton="0" quotePrefix="0" xfId="0"/>
    <xf numFmtId="0" fontId="0" fillId="3" borderId="0" pivotButton="0" quotePrefix="0" xfId="0"/>
    <xf numFmtId="0" fontId="0" fillId="3" borderId="0" applyProtection="1" pivotButton="0" quotePrefix="0" xfId="0">
      <protection locked="0" hidden="0"/>
    </xf>
    <xf numFmtId="164" fontId="0" fillId="3" borderId="0" applyAlignment="1" applyProtection="1" pivotButton="0" quotePrefix="0" xfId="0">
      <alignment horizontal="right"/>
      <protection locked="0" hidden="0"/>
    </xf>
    <xf numFmtId="167" fontId="0" fillId="3" borderId="0" applyAlignment="1" applyProtection="1" pivotButton="0" quotePrefix="0" xfId="0">
      <alignment horizontal="right"/>
      <protection locked="0" hidden="0"/>
    </xf>
    <xf numFmtId="164" fontId="0" fillId="3" borderId="0" applyAlignment="1" pivotButton="0" quotePrefix="0" xfId="0">
      <alignment horizontal="right"/>
    </xf>
    <xf numFmtId="0" fontId="2" fillId="3" borderId="0" pivotButton="0" quotePrefix="0" xfId="0"/>
    <xf numFmtId="166" fontId="0" fillId="0" borderId="0" pivotButton="0" quotePrefix="0" xfId="0"/>
    <xf numFmtId="0" fontId="0" fillId="0" borderId="0" applyProtection="1" pivotButton="0" quotePrefix="0" xfId="0">
      <protection locked="0" hidden="0"/>
    </xf>
    <xf numFmtId="164" fontId="0" fillId="0" borderId="0" applyAlignment="1" applyProtection="1" pivotButton="0" quotePrefix="0" xfId="0">
      <alignment horizontal="right"/>
      <protection locked="0" hidden="0"/>
    </xf>
    <xf numFmtId="167" fontId="0" fillId="0" borderId="0" applyAlignment="1" applyProtection="1" pivotButton="0" quotePrefix="0" xfId="0">
      <alignment horizontal="right"/>
      <protection locked="0" hidden="0"/>
    </xf>
    <xf numFmtId="166" fontId="0" fillId="5" borderId="0" pivotButton="0" quotePrefix="0" xfId="0"/>
    <xf numFmtId="0" fontId="0" fillId="5" borderId="0" pivotButton="0" quotePrefix="0" xfId="0"/>
    <xf numFmtId="0" fontId="0" fillId="5" borderId="0" applyProtection="1" pivotButton="0" quotePrefix="0" xfId="0">
      <protection locked="0" hidden="0"/>
    </xf>
    <xf numFmtId="164" fontId="0" fillId="5" borderId="0" applyAlignment="1" applyProtection="1" pivotButton="0" quotePrefix="0" xfId="0">
      <alignment horizontal="right"/>
      <protection locked="0" hidden="0"/>
    </xf>
    <xf numFmtId="167" fontId="0" fillId="5" borderId="0" applyAlignment="1" applyProtection="1" pivotButton="0" quotePrefix="0" xfId="0">
      <alignment horizontal="right"/>
      <protection locked="0" hidden="0"/>
    </xf>
    <xf numFmtId="164" fontId="0" fillId="5" borderId="0" applyAlignment="1" pivotButton="0" quotePrefix="0" xfId="0">
      <alignment horizontal="right"/>
    </xf>
    <xf numFmtId="0" fontId="2" fillId="5" borderId="0" pivotButton="0" quotePrefix="0" xfId="0"/>
    <xf numFmtId="166" fontId="0" fillId="6" borderId="0" pivotButton="0" quotePrefix="0" xfId="0"/>
    <xf numFmtId="0" fontId="0" fillId="6" borderId="0" pivotButton="0" quotePrefix="0" xfId="0"/>
    <xf numFmtId="0" fontId="0" fillId="6" borderId="0" applyProtection="1" pivotButton="0" quotePrefix="0" xfId="0">
      <protection locked="0" hidden="0"/>
    </xf>
    <xf numFmtId="164" fontId="0" fillId="6" borderId="0" applyAlignment="1" applyProtection="1" pivotButton="0" quotePrefix="0" xfId="0">
      <alignment horizontal="right"/>
      <protection locked="0" hidden="0"/>
    </xf>
    <xf numFmtId="167" fontId="0" fillId="6" borderId="0" applyAlignment="1" applyProtection="1" pivotButton="0" quotePrefix="0" xfId="0">
      <alignment horizontal="right"/>
      <protection locked="0" hidden="0"/>
    </xf>
    <xf numFmtId="164" fontId="0" fillId="6" borderId="0" applyAlignment="1" pivotButton="0" quotePrefix="0" xfId="0">
      <alignment horizontal="right"/>
    </xf>
    <xf numFmtId="0" fontId="2" fillId="6" borderId="0" pivotButton="0" quotePrefix="0" xfId="0"/>
    <xf numFmtId="0" fontId="6" fillId="0" borderId="0" pivotButton="0" quotePrefix="0" xfId="0"/>
    <xf numFmtId="0" fontId="16" fillId="0" borderId="0" pivotButton="0" quotePrefix="0" xfId="0"/>
    <xf numFmtId="0" fontId="1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ables/table1.xml><?xml version="1.0" encoding="utf-8"?>
<table xmlns="http://schemas.openxmlformats.org/spreadsheetml/2006/main" id="1" name="ExpensesTable" displayName="ExpensesTable" ref="A1:I32" headerRowCount="1">
  <autoFilter ref="A1:I32"/>
  <tableColumns count="9">
    <tableColumn id="1" name="Date"/>
    <tableColumn id="2" name="Merchant"/>
    <tableColumn id="3" name="Category"/>
    <tableColumn id="4" name="Amount"/>
    <tableColumn id="5" name="Claim %"/>
    <tableColumn id="6" name="Claimed"/>
    <tableColumn id="7" name="Equipment review?"/>
    <tableColumn id="8" name="Account"/>
    <tableColumn id="9" name="Description"/>
  </tableColumns>
  <tableStyleInfo name="TableStyleLight1" showRowStripes="0" showColumnStripes="0"/>
</table>
</file>

<file path=xl/tables/table2.xml><?xml version="1.0" encoding="utf-8"?>
<table xmlns="http://schemas.openxmlformats.org/spreadsheetml/2006/main" id="2" name="IncomeTable" displayName="IncomeTable" ref="A1:H10" headerRowCount="1">
  <autoFilter ref="A1:H10"/>
  <tableColumns count="8">
    <tableColumn id="1" name="Date"/>
    <tableColumn id="2" name="Source"/>
    <tableColumn id="3" name="Type"/>
    <tableColumn id="4" name="Amount"/>
    <tableColumn id="5" name="Account"/>
    <tableColumn id="6" name="Share %"/>
    <tableColumn id="7" name="Counted"/>
    <tableColumn id="8" name="Description"/>
  </tableColumns>
  <tableStyleInfo name="TableStyleLight1"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 /></Relationships>
</file>

<file path=xl/worksheets/_rels/sheet3.xml.rels><Relationships xmlns="http://schemas.openxmlformats.org/package/2006/relationships"><Relationship Type="http://schemas.openxmlformats.org/officeDocument/2006/relationships/table" Target="/xl/tables/table2.xml" Id="rId1" /></Relationships>
</file>

<file path=xl/worksheets/sheet1.xml><?xml version="1.0" encoding="utf-8"?>
<worksheet xmlns="http://schemas.openxmlformats.org/spreadsheetml/2006/main">
  <sheetPr>
    <outlinePr summaryBelow="1" summaryRight="1"/>
    <pageSetUpPr fitToPage="1"/>
  </sheetPr>
  <dimension ref="A1:B74"/>
  <sheetViews>
    <sheetView showGridLines="0" workbookViewId="0">
      <selection activeCell="A1" sqref="A1"/>
    </sheetView>
  </sheetViews>
  <sheetFormatPr baseColWidth="8" defaultRowHeight="15"/>
  <cols>
    <col width="58" customWidth="1" min="1" max="1"/>
    <col width="22" customWidth="1" min="2" max="2"/>
  </cols>
  <sheetData>
    <row r="1">
      <c r="A1" s="1" t="inlineStr">
        <is>
          <r>
            <rPr>
              <rFont val="Calibri"/>
              <b val="1"/>
              <color rgb="001C1A17"/>
              <sz val="18"/>
            </rPr>
            <t>CRATE</t>
          </r>
          <r>
            <rPr>
              <rFont val="Calibri"/>
              <b val="1"/>
              <color rgb="00E1442A"/>
              <sz val="18"/>
            </rPr>
            <t>BOOKS</t>
          </r>
        </is>
      </c>
      <c r="B1" s="2" t="inlineStr">
        <is>
          <t>ACCOUNTANT PACK</t>
        </is>
      </c>
    </row>
    <row r="2" ht="3" customHeight="1">
      <c r="A2" s="3" t="n"/>
      <c r="B2" s="3" t="n"/>
    </row>
    <row r="4">
      <c r="A4" s="4" t="inlineStr">
        <is>
          <t>Period</t>
        </is>
      </c>
      <c r="B4" s="5" t="inlineStr">
        <is>
          <t>SAMPLE DATA - Jan to Mar 2025, not real figures</t>
        </is>
      </c>
    </row>
    <row r="5">
      <c r="A5" s="4" t="inlineStr">
        <is>
          <t>Accounting basis</t>
        </is>
      </c>
      <c r="B5" s="5" t="inlineStr">
        <is>
          <t>Traditional accounting</t>
        </is>
      </c>
    </row>
    <row r="6">
      <c r="A6" s="4" t="inlineStr">
        <is>
          <t>Generated</t>
        </is>
      </c>
      <c r="B6" s="5" t="inlineStr">
        <is>
          <t>28 Jul 2026</t>
        </is>
      </c>
    </row>
    <row r="7">
      <c r="A7" s="4" t="inlineStr">
        <is>
          <t>Accounts included</t>
        </is>
      </c>
      <c r="B7" s="5" t="inlineStr">
        <is>
          <t>Imported statement (40 transactions)</t>
        </is>
      </c>
    </row>
    <row r="9" ht="20" customHeight="1">
      <c r="A9" s="6" t="inlineStr">
        <is>
          <t>Business income</t>
        </is>
      </c>
      <c r="B9" s="7">
        <f>Income!G11</f>
        <v>2519.95</v>
      </c>
    </row>
    <row r="10" ht="20" customHeight="1">
      <c r="A10" s="8" t="inlineStr">
        <is>
          <t>Expenses mapped to SA103 categories</t>
        </is>
      </c>
      <c r="B10" s="9">
        <f>Expenses!F33-SUMIF(Expenses!$G$2:$G$32,"review",Expenses!$F$2:$F$32)</f>
        <v>1762.41</v>
      </c>
    </row>
    <row r="11" ht="20" customHeight="1">
      <c r="A11" s="10" t="inlineStr">
        <is>
          <t>Larger equipment awaiting treatment</t>
        </is>
      </c>
      <c r="B11" s="11">
        <f>SUMIF(Expenses!$G$2:$G$32,"review",Expenses!$F$2:$F$32)</f>
        <v>420</v>
      </c>
    </row>
    <row r="12" ht="20" customHeight="1">
      <c r="A12" s="12" t="inlineStr">
        <is>
          <t>Net on mapped categories only</t>
        </is>
      </c>
      <c r="B12" s="9">
        <f>B9-B10</f>
        <v>757.54</v>
      </c>
    </row>
    <row r="14">
      <c r="A14" s="13" t="inlineStr">
        <is>
          <t>Reconciliation</t>
        </is>
      </c>
    </row>
    <row r="15">
      <c r="A15" s="14" t="inlineStr">
        <is>
          <t>Business income</t>
        </is>
      </c>
      <c r="B15" s="15">
        <f>B9</f>
        <v>2519.95</v>
      </c>
    </row>
    <row r="16">
      <c r="A16" s="14" t="inlineStr">
        <is>
          <t>Expenses mapped to SA103 categories</t>
        </is>
      </c>
      <c r="B16" s="15">
        <f>B10</f>
        <v>1762.41</v>
      </c>
    </row>
    <row r="17">
      <c r="A17" s="14" t="inlineStr">
        <is>
          <t>Net on mapped categories only</t>
        </is>
      </c>
      <c r="B17" s="15">
        <f>B9-B10</f>
        <v>757.54</v>
      </c>
    </row>
    <row r="18">
      <c r="A18" s="14" t="inlineStr">
        <is>
          <t>Larger equipment awaiting professional treatment</t>
        </is>
      </c>
      <c r="B18" s="15">
        <f>SUMIF(Expenses!$G$2:$G$32,"review",Expenses!$F$2:$F$32)</f>
        <v>420</v>
      </c>
    </row>
    <row r="19">
      <c r="A19" s="14" t="inlineStr">
        <is>
          <t>Total selected expense records</t>
        </is>
      </c>
      <c r="B19" s="15">
        <f>Expenses!F33</f>
        <v>2182.41</v>
      </c>
    </row>
    <row r="20">
      <c r="A20" s="14" t="inlineStr">
        <is>
          <t>Indicative net if equipment is allowed in full</t>
        </is>
      </c>
      <c r="B20" s="15">
        <f>B9-Expenses!F33</f>
        <v>337.54</v>
      </c>
    </row>
    <row r="21">
      <c r="A21" s="16" t="inlineStr">
        <is>
          <t>The category guide excludes equipment awaiting treatment, so its net differs from the headline net above. Both are reconciled here.</t>
        </is>
      </c>
    </row>
    <row r="23">
      <c r="A23" s="13" t="inlineStr">
        <is>
          <t>Accountant attention</t>
        </is>
      </c>
    </row>
    <row r="24">
      <c r="A24" s="17" t="inlineStr">
        <is>
          <t>1 item flagged for equipment review (red on the expenses tab); 3 partial claims at an explicit business share (amber rows).</t>
        </is>
      </c>
      <c r="B24" s="18" t="n"/>
    </row>
    <row r="26">
      <c r="A26" s="13" t="inlineStr">
        <is>
          <t>Expenses by category (recalculates from the Expenses tab)</t>
        </is>
      </c>
    </row>
    <row r="27">
      <c r="A27" s="14" t="inlineStr">
        <is>
          <t>Equipment</t>
        </is>
      </c>
      <c r="B27" s="15">
        <f>SUMIF(Expenses!$C$2:$C$32,"Equipment",Expenses!$F$2:$F$32)</f>
        <v>908.5</v>
      </c>
    </row>
    <row r="28">
      <c r="A28" s="14" t="inlineStr">
        <is>
          <t>Travel</t>
        </is>
      </c>
      <c r="B28" s="15">
        <f>SUMIF(Expenses!$C$2:$C$32,"Travel",Expenses!$F$2:$F$32)</f>
        <v>347.98</v>
      </c>
    </row>
    <row r="29">
      <c r="A29" s="14" t="inlineStr">
        <is>
          <t>Accommodation</t>
        </is>
      </c>
      <c r="B29" s="15">
        <f>SUMIF(Expenses!$C$2:$C$32,"Accommodation",Expenses!$F$2:$F$32)</f>
        <v>339</v>
      </c>
    </row>
    <row r="30">
      <c r="A30" s="14" t="inlineStr">
        <is>
          <t>Studio</t>
        </is>
      </c>
      <c r="B30" s="15">
        <f>SUMIF(Expenses!$C$2:$C$32,"Studio",Expenses!$F$2:$F$32)</f>
        <v>226</v>
      </c>
    </row>
    <row r="31">
      <c r="A31" s="14" t="inlineStr">
        <is>
          <t>Software &amp; subs</t>
        </is>
      </c>
      <c r="B31" s="15">
        <f>SUMIF(Expenses!$C$2:$C$32,"Software &amp; subs",Expenses!$F$2:$F$32)</f>
        <v>168.88</v>
      </c>
    </row>
    <row r="32">
      <c r="A32" s="14" t="inlineStr">
        <is>
          <t>Marketing</t>
        </is>
      </c>
      <c r="B32" s="15">
        <f>SUMIF(Expenses!$C$2:$C$32,"Marketing",Expenses!$F$2:$F$32)</f>
        <v>85</v>
      </c>
    </row>
    <row r="33">
      <c r="A33" s="14" t="inlineStr">
        <is>
          <t>Home &amp; utilities</t>
        </is>
      </c>
      <c r="B33" s="15">
        <f>SUMIF(Expenses!$C$2:$C$32,"Home &amp; utilities",Expenses!$F$2:$F$32)</f>
        <v>60.25</v>
      </c>
    </row>
    <row r="34">
      <c r="A34" s="14" t="inlineStr">
        <is>
          <t>Meals (work)</t>
        </is>
      </c>
      <c r="B34" s="15">
        <f>SUMIF(Expenses!$C$2:$C$32,"Meals (work)",Expenses!$F$2:$F$32)</f>
        <v>27.8</v>
      </c>
    </row>
    <row r="35">
      <c r="A35" s="14" t="inlineStr">
        <is>
          <t>Phone &amp; internet</t>
        </is>
      </c>
      <c r="B35" s="15">
        <f>SUMIF(Expenses!$C$2:$C$32,"Phone &amp; internet",Expenses!$F$2:$F$32)</f>
        <v>19</v>
      </c>
    </row>
    <row r="37">
      <c r="A37" s="13" t="inlineStr">
        <is>
          <t>HMRC self-assessment (SA103F) category guide - recalculates from the Expenses tab; category guide only, confirm the correct form and treatment</t>
        </is>
      </c>
    </row>
    <row r="38">
      <c r="A38" s="19" t="inlineStr">
        <is>
          <t>Box</t>
        </is>
      </c>
      <c r="B38" s="20" t="inlineStr">
        <is>
          <t>Total</t>
        </is>
      </c>
    </row>
    <row r="39">
      <c r="A39" s="14" t="inlineStr">
        <is>
          <t>Box 20 - Car, van and travel expenses</t>
        </is>
      </c>
      <c r="B39" s="15">
        <f>SUMIFS(Expenses!$F$2:$F$32,Expenses!$C$2:$C$32,"Travel",Expenses!$G$2:$G$32,"&lt;&gt;review")+SUMIFS(Expenses!$F$2:$F$32,Expenses!$C$2:$C$32,"Accommodation",Expenses!$G$2:$G$32,"&lt;&gt;review")+SUMIFS(Expenses!$F$2:$F$32,Expenses!$C$2:$C$32,"Meals (work)",Expenses!$G$2:$G$32,"&lt;&gt;review")+SUMIFS(Expenses!$F$2:$F$32,Expenses!$C$2:$C$32,"Vehicle",Expenses!$G$2:$G$32,"&lt;&gt;review")</f>
        <v>714.78</v>
      </c>
    </row>
    <row r="40">
      <c r="A40" s="14" t="inlineStr">
        <is>
          <t>Box 21 - Rent, rates, power and insurance</t>
        </is>
      </c>
      <c r="B40" s="15">
        <f>SUMIFS(Expenses!$F$2:$F$32,Expenses!$C$2:$C$32,"Studio",Expenses!$G$2:$G$32,"&lt;&gt;review")+SUMIFS(Expenses!$F$2:$F$32,Expenses!$C$2:$C$32,"Home &amp; utilities",Expenses!$G$2:$G$32,"&lt;&gt;review")+SUMIFS(Expenses!$F$2:$F$32,Expenses!$C$2:$C$32,"Insurance",Expenses!$G$2:$G$32,"&lt;&gt;review")</f>
        <v>286.25</v>
      </c>
    </row>
    <row r="41">
      <c r="A41" s="14" t="inlineStr">
        <is>
          <t>Box 23 - Phone, stationery and other office costs</t>
        </is>
      </c>
      <c r="B41" s="15">
        <f>SUMIFS(Expenses!$F$2:$F$32,Expenses!$C$2:$C$32,"Software &amp; subs",Expenses!$G$2:$G$32,"&lt;&gt;review")+SUMIFS(Expenses!$F$2:$F$32,Expenses!$C$2:$C$32,"Phone &amp; internet",Expenses!$G$2:$G$32,"&lt;&gt;review")</f>
        <v>187.88</v>
      </c>
    </row>
    <row r="42">
      <c r="A42" s="14" t="inlineStr">
        <is>
          <t>Box 24 - Advertising and business entertainment</t>
        </is>
      </c>
      <c r="B42" s="15">
        <f>SUMIFS(Expenses!$F$2:$F$32,Expenses!$C$2:$C$32,"Marketing",Expenses!$G$2:$G$32,"&lt;&gt;review")</f>
        <v>85</v>
      </c>
    </row>
    <row r="43">
      <c r="A43" s="14" t="inlineStr">
        <is>
          <t>Box 30 - Other business expenses</t>
        </is>
      </c>
      <c r="B43" s="15">
        <f>SUMIFS(Expenses!$F$2:$F$32,Expenses!$C$2:$C$32,"Equipment",Expenses!$G$2:$G$32,"&lt;&gt;review")+SUMIFS(Expenses!$F$2:$F$32,Expenses!$C$2:$C$32,"Distribution",Expenses!$G$2:$G$32,"&lt;&gt;review")+SUMIFS(Expenses!$F$2:$F$32,Expenses!$C$2:$C$32,"Uncategorised",Expenses!$G$2:$G$32,"&lt;&gt;review")+SUMIFS(Expenses!$F$2:$F$32,Expenses!$C$2:$C$32,"Stage &amp; costume",Expenses!$G$2:$G$32,"&lt;&gt;review")+SUMIFS(Expenses!$F$2:$F$32,Expenses!$C$2:$C$32,"Training &amp; development",Expenses!$G$2:$G$32,"&lt;&gt;review")+SUMIFS(Expenses!$F$2:$F$32,Expenses!$C$2:$C$32,"VAT paid to HMRC",Expenses!$G$2:$G$32,"&lt;&gt;review")</f>
        <v>488.5</v>
      </c>
    </row>
    <row r="44">
      <c r="A44" s="4" t="inlineStr">
        <is>
          <t>Not mapped to any box above (check Category spelling)</t>
        </is>
      </c>
      <c r="B44" s="15">
        <f>Expenses!F33-SUMIF(Expenses!$G$2:$G$32,"review",Expenses!$F$2:$F$32)-SUM(B39:B43)</f>
        <v>0</v>
      </c>
    </row>
    <row r="45">
      <c r="A45" s="21" t="inlineStr">
        <is>
          <t>Larger equipment for review (not in the boxes above)</t>
        </is>
      </c>
      <c r="B45" s="15">
        <f>SUMIF(Expenses!$G$2:$G$32,"review",Expenses!$F$2:$F$32)</f>
        <v>420</v>
      </c>
    </row>
    <row r="46">
      <c r="A46" s="4" t="inlineStr">
        <is>
          <t xml:space="preserve">  02/03/25  Pioneer Dj Ltd</t>
        </is>
      </c>
      <c r="B46" s="15" t="n">
        <v>420</v>
      </c>
    </row>
    <row r="47">
      <c r="A47" s="13" t="inlineStr">
        <is>
          <t>Total selected expense records, including items awaiting treatment</t>
        </is>
      </c>
      <c r="B47" s="22">
        <f>Expenses!F33</f>
        <v>2182.41</v>
      </c>
    </row>
    <row r="49">
      <c r="A49" s="13" t="inlineStr">
        <is>
          <t>By tax quarter (MTD): snapshot as exported</t>
        </is>
      </c>
    </row>
    <row r="50" ht="36" customHeight="1">
      <c r="A50" s="16" t="inlineStr">
        <is>
          <t>These update-period splits are the figures as confirmed in Cratebooks at export and are NOT recalculated in this workbook - a fixed point of reference against any edits made above. The 6 April period boundaries come from the records themselves, so Excel does not re-derive them.</t>
        </is>
      </c>
    </row>
    <row r="51">
      <c r="A51" s="21" t="inlineStr">
        <is>
          <t>Q3 (6 Oct - 5 Jan)</t>
        </is>
      </c>
    </row>
    <row r="52">
      <c r="A52" s="14" t="inlineStr">
        <is>
          <t xml:space="preserve">  Equipment</t>
        </is>
      </c>
      <c r="B52" s="15" t="n">
        <v>212</v>
      </c>
    </row>
    <row r="53">
      <c r="A53" s="14" t="inlineStr">
        <is>
          <t xml:space="preserve">  Expenses subtotal</t>
        </is>
      </c>
      <c r="B53" s="15" t="n">
        <v>212</v>
      </c>
    </row>
    <row r="54">
      <c r="A54" s="14" t="inlineStr">
        <is>
          <t xml:space="preserve">  Business income</t>
        </is>
      </c>
      <c r="B54" s="15" t="n">
        <v>0</v>
      </c>
    </row>
    <row r="55">
      <c r="A55" s="23" t="inlineStr">
        <is>
          <t xml:space="preserve">  Net</t>
        </is>
      </c>
      <c r="B55" s="22" t="n">
        <v>-212</v>
      </c>
    </row>
    <row r="57">
      <c r="A57" s="21" t="inlineStr">
        <is>
          <t>Q4 (6 Jan - 5 Apr)</t>
        </is>
      </c>
    </row>
    <row r="58">
      <c r="A58" s="14" t="inlineStr">
        <is>
          <t xml:space="preserve">  Equipment</t>
        </is>
      </c>
      <c r="B58" s="15" t="n">
        <v>696.5</v>
      </c>
    </row>
    <row r="59">
      <c r="A59" s="14" t="inlineStr">
        <is>
          <t xml:space="preserve">  Travel</t>
        </is>
      </c>
      <c r="B59" s="15" t="n">
        <v>347.98</v>
      </c>
    </row>
    <row r="60">
      <c r="A60" s="14" t="inlineStr">
        <is>
          <t xml:space="preserve">  Accommodation</t>
        </is>
      </c>
      <c r="B60" s="15" t="n">
        <v>339</v>
      </c>
    </row>
    <row r="61">
      <c r="A61" s="14" t="inlineStr">
        <is>
          <t xml:space="preserve">  Studio</t>
        </is>
      </c>
      <c r="B61" s="15" t="n">
        <v>226</v>
      </c>
    </row>
    <row r="62">
      <c r="A62" s="14" t="inlineStr">
        <is>
          <t xml:space="preserve">  Software &amp; subs</t>
        </is>
      </c>
      <c r="B62" s="15" t="n">
        <v>168.88</v>
      </c>
    </row>
    <row r="63">
      <c r="A63" s="14" t="inlineStr">
        <is>
          <t xml:space="preserve">  Marketing</t>
        </is>
      </c>
      <c r="B63" s="15" t="n">
        <v>85</v>
      </c>
    </row>
    <row r="64">
      <c r="A64" s="14" t="inlineStr">
        <is>
          <t xml:space="preserve">  Home &amp; utilities</t>
        </is>
      </c>
      <c r="B64" s="15" t="n">
        <v>60.25</v>
      </c>
    </row>
    <row r="65">
      <c r="A65" s="14" t="inlineStr">
        <is>
          <t xml:space="preserve">  Meals (work)</t>
        </is>
      </c>
      <c r="B65" s="15" t="n">
        <v>27.8</v>
      </c>
    </row>
    <row r="66">
      <c r="A66" s="14" t="inlineStr">
        <is>
          <t xml:space="preserve">  Phone &amp; internet</t>
        </is>
      </c>
      <c r="B66" s="15" t="n">
        <v>19</v>
      </c>
    </row>
    <row r="67">
      <c r="A67" s="14" t="inlineStr">
        <is>
          <t xml:space="preserve">  Expenses subtotal</t>
        </is>
      </c>
      <c r="B67" s="15" t="n">
        <v>1970.41</v>
      </c>
    </row>
    <row r="68">
      <c r="A68" s="14" t="inlineStr">
        <is>
          <t xml:space="preserve">  Business income</t>
        </is>
      </c>
      <c r="B68" s="15" t="n">
        <v>2519.95</v>
      </c>
    </row>
    <row r="69">
      <c r="A69" s="23" t="inlineStr">
        <is>
          <t xml:space="preserve">  Net</t>
        </is>
      </c>
      <c r="B69" s="22" t="n">
        <v>549.54</v>
      </c>
    </row>
    <row r="71">
      <c r="A71" s="13" t="inlineStr">
        <is>
          <t>Completeness</t>
        </is>
      </c>
    </row>
    <row r="72">
      <c r="A72" s="16" t="inlineStr">
        <is>
          <t>Completeness: these figures cover only the accounts listed above. The client confirmed at export that all accounts, off-bank records and the correct trade are included. Add anything not shown here, for example PayPal, Stripe or Wise balances, cash gigs, royalties reported net of commission, or costs paid from another account. Income received in another currency, or with foreign tax withheld, sits outside these GBP records and may need separate declaration.</t>
        </is>
      </c>
    </row>
    <row r="74">
      <c r="A74" s="24" t="inlineStr">
        <is>
          <t>Prepared from the records the client reviewed and confirmed in Cratebooks; not tax advice, and Cratebooks does not currently submit to HMRC. Traditional accounting: larger equipment is separated for review and year-end adjustments may be required. Claim % is a guide only. This workbook RECALCULATES from the Expenses and Income tabs - the Summary, the SA103 guide and the 'Tax category guide' tab included - so edits flow through to what a digitally linked bridge files. Figures were checked and correct at export; changes after export, and anything filed from them, are the responsibility of whoever makes them. Edits here do NOT update Cratebooks: make any correction that should persist in Cratebooks too, or the next quarter's cumulative export will not include it. Only the by-quarter breakdown above is fixed at export.</t>
        </is>
      </c>
      <c r="B74" s="18" t="n"/>
    </row>
  </sheetData>
  <sheetProtection selectLockedCells="0" selectUnlockedCells="0" sheet="1" objects="0" insertRows="1" insertHyperlinks="1" autoFilter="1" scenarios="0" formatColumns="0" deleteColumns="1" insertColumns="1" pivotTables="1" deleteRows="1" formatCells="0" formatRows="0" sort="1"/>
  <mergeCells count="11">
    <mergeCell ref="A26:B26"/>
    <mergeCell ref="A21:B21"/>
    <mergeCell ref="A24:B24"/>
    <mergeCell ref="A72:B72"/>
    <mergeCell ref="A71:B71"/>
    <mergeCell ref="A49:B49"/>
    <mergeCell ref="A37:B37"/>
    <mergeCell ref="A14:B14"/>
    <mergeCell ref="A74:B74"/>
    <mergeCell ref="A23:B23"/>
    <mergeCell ref="A50:B50"/>
  </mergeCells>
  <pageMargins left="0.75" right="0.75" top="1" bottom="1" header="0.5" footer="0.5"/>
  <pageSetup orientation="portrait" paperSize="9" fitToHeight="0" fitToWidth="1"/>
</worksheet>
</file>

<file path=xl/worksheets/sheet2.xml><?xml version="1.0" encoding="utf-8"?>
<worksheet xmlns="http://schemas.openxmlformats.org/spreadsheetml/2006/main">
  <sheetPr>
    <outlinePr summaryBelow="1" summaryRight="1"/>
    <pageSetUpPr fitToPage="1"/>
  </sheetPr>
  <dimension ref="A1:I33"/>
  <sheetViews>
    <sheetView showGridLines="0" workbookViewId="0">
      <pane xSplit="2" ySplit="1" topLeftCell="C2" activePane="bottomRight" state="frozen"/>
      <selection pane="topRight"/>
      <selection pane="bottomLeft"/>
      <selection pane="bottomRight" activeCell="A1" sqref="A1"/>
    </sheetView>
  </sheetViews>
  <sheetFormatPr baseColWidth="8" defaultRowHeight="15"/>
  <cols>
    <col width="11" customWidth="1" min="1" max="1"/>
    <col width="26" customWidth="1" min="2" max="2"/>
    <col width="20" customWidth="1" min="3" max="3"/>
    <col width="13" customWidth="1" min="4" max="4"/>
    <col width="10" customWidth="1" min="5" max="5"/>
    <col width="13" customWidth="1" min="6" max="6"/>
    <col width="17" customWidth="1" min="7" max="7"/>
    <col width="18" customWidth="1" min="8" max="8"/>
    <col width="44" customWidth="1" min="9" max="9"/>
  </cols>
  <sheetData>
    <row r="1">
      <c r="A1" s="25" t="inlineStr">
        <is>
          <t>Date</t>
        </is>
      </c>
      <c r="B1" s="26" t="inlineStr">
        <is>
          <t>Merchant</t>
        </is>
      </c>
      <c r="C1" s="26" t="inlineStr">
        <is>
          <t>Category</t>
        </is>
      </c>
      <c r="D1" s="27" t="inlineStr">
        <is>
          <t>Amount</t>
        </is>
      </c>
      <c r="E1" s="27" t="inlineStr">
        <is>
          <t>Claim %</t>
        </is>
      </c>
      <c r="F1" s="27" t="inlineStr">
        <is>
          <t>Claimed</t>
        </is>
      </c>
      <c r="G1" s="26" t="inlineStr">
        <is>
          <t>Equipment review?</t>
        </is>
      </c>
      <c r="H1" s="26" t="inlineStr">
        <is>
          <t>Account</t>
        </is>
      </c>
      <c r="I1" s="26" t="inlineStr">
        <is>
          <t>Description</t>
        </is>
      </c>
    </row>
    <row r="2">
      <c r="A2" s="28" t="n">
        <v>45661</v>
      </c>
      <c r="B2" s="29" t="inlineStr">
        <is>
          <t>Card Payment To Gear4music</t>
        </is>
      </c>
      <c r="C2" s="30" t="inlineStr">
        <is>
          <t>Equipment</t>
        </is>
      </c>
      <c r="D2" s="31" t="n">
        <v>212</v>
      </c>
      <c r="E2" s="32" t="n">
        <v>100</v>
      </c>
      <c r="F2" s="33">
        <f>ROUND(ABS(D2)*E2,0)/100</f>
        <v>212</v>
      </c>
      <c r="G2" s="34" t="inlineStr"/>
      <c r="H2" s="29" t="inlineStr">
        <is>
          <t>Imported statement</t>
        </is>
      </c>
      <c r="I2" s="29" t="inlineStr">
        <is>
          <t>CARD PAYMENT TO GEAR4MUSIC</t>
        </is>
      </c>
    </row>
    <row r="3">
      <c r="A3" s="35" t="n">
        <v>45665</v>
      </c>
      <c r="B3" t="inlineStr">
        <is>
          <t>Bandcamp</t>
        </is>
      </c>
      <c r="C3" s="36" t="inlineStr">
        <is>
          <t>Software &amp; subs</t>
        </is>
      </c>
      <c r="D3" s="37" t="n">
        <v>14</v>
      </c>
      <c r="E3" s="38" t="n">
        <v>100</v>
      </c>
      <c r="F3" s="15">
        <f>ROUND(ABS(D3)*E3,0)/100</f>
        <v>14</v>
      </c>
      <c r="G3" s="21" t="inlineStr"/>
      <c r="H3" t="inlineStr">
        <is>
          <t>Imported statement</t>
        </is>
      </c>
      <c r="I3" t="inlineStr">
        <is>
          <t>CARD PAYMENT TO BANDCAMP</t>
        </is>
      </c>
    </row>
    <row r="4">
      <c r="A4" s="39" t="n">
        <v>45667</v>
      </c>
      <c r="B4" s="40" t="inlineStr">
        <is>
          <t>British Gas</t>
        </is>
      </c>
      <c r="C4" s="41" t="inlineStr">
        <is>
          <t>Home &amp; utilities</t>
        </is>
      </c>
      <c r="D4" s="42" t="n">
        <v>96</v>
      </c>
      <c r="E4" s="43" t="n">
        <v>25</v>
      </c>
      <c r="F4" s="44">
        <f>ROUND(ABS(D4)*E4,0)/100</f>
        <v>24</v>
      </c>
      <c r="G4" s="45" t="inlineStr"/>
      <c r="H4" s="40" t="inlineStr">
        <is>
          <t>Imported statement</t>
        </is>
      </c>
      <c r="I4" s="40" t="inlineStr">
        <is>
          <t>DIRECT DEBIT BRITISH GAS</t>
        </is>
      </c>
    </row>
    <row r="5">
      <c r="A5" s="35" t="n">
        <v>45669</v>
      </c>
      <c r="B5" t="inlineStr">
        <is>
          <t>Wizz Air</t>
        </is>
      </c>
      <c r="C5" s="36" t="inlineStr">
        <is>
          <t>Travel</t>
        </is>
      </c>
      <c r="D5" s="37" t="n">
        <v>52.2</v>
      </c>
      <c r="E5" s="38" t="n">
        <v>100</v>
      </c>
      <c r="F5" s="15">
        <f>ROUND(ABS(D5)*E5,0)/100</f>
        <v>52.2</v>
      </c>
      <c r="G5" s="21" t="inlineStr"/>
      <c r="H5" t="inlineStr">
        <is>
          <t>Imported statement</t>
        </is>
      </c>
      <c r="I5" t="inlineStr">
        <is>
          <t>CARD PAYMENT TO WIZZ AIR</t>
        </is>
      </c>
    </row>
    <row r="6">
      <c r="A6" s="28" t="n">
        <v>45672</v>
      </c>
      <c r="B6" s="29" t="inlineStr">
        <is>
          <t>Nandos</t>
        </is>
      </c>
      <c r="C6" s="30" t="inlineStr">
        <is>
          <t>Meals (work)</t>
        </is>
      </c>
      <c r="D6" s="31" t="n">
        <v>19.4</v>
      </c>
      <c r="E6" s="32" t="n">
        <v>100</v>
      </c>
      <c r="F6" s="33">
        <f>ROUND(ABS(D6)*E6,0)/100</f>
        <v>19.4</v>
      </c>
      <c r="G6" s="34" t="inlineStr"/>
      <c r="H6" s="29" t="inlineStr">
        <is>
          <t>Imported statement</t>
        </is>
      </c>
      <c r="I6" s="29" t="inlineStr">
        <is>
          <t>CARD PAYMENT TO NANDOS</t>
        </is>
      </c>
    </row>
    <row r="7">
      <c r="A7" s="35" t="n">
        <v>45675</v>
      </c>
      <c r="B7" t="inlineStr">
        <is>
          <t>Dropbox</t>
        </is>
      </c>
      <c r="C7" s="36" t="inlineStr">
        <is>
          <t>Software &amp; subs</t>
        </is>
      </c>
      <c r="D7" s="37" t="n">
        <v>9.99</v>
      </c>
      <c r="E7" s="38" t="n">
        <v>100</v>
      </c>
      <c r="F7" s="15">
        <f>ROUND(ABS(D7)*E7,0)/100</f>
        <v>9.99</v>
      </c>
      <c r="G7" s="21" t="inlineStr"/>
      <c r="H7" t="inlineStr">
        <is>
          <t>Imported statement</t>
        </is>
      </c>
      <c r="I7" t="inlineStr">
        <is>
          <t>CARD PAYMENT TO DROPBOX</t>
        </is>
      </c>
    </row>
    <row r="8">
      <c r="A8" s="28" t="n">
        <v>45679</v>
      </c>
      <c r="B8" s="29" t="inlineStr">
        <is>
          <t>Ibis Hotels</t>
        </is>
      </c>
      <c r="C8" s="30" t="inlineStr">
        <is>
          <t>Accommodation</t>
        </is>
      </c>
      <c r="D8" s="31" t="n">
        <v>68</v>
      </c>
      <c r="E8" s="32" t="n">
        <v>100</v>
      </c>
      <c r="F8" s="33">
        <f>ROUND(ABS(D8)*E8,0)/100</f>
        <v>68</v>
      </c>
      <c r="G8" s="34" t="inlineStr"/>
      <c r="H8" s="29" t="inlineStr">
        <is>
          <t>Imported statement</t>
        </is>
      </c>
      <c r="I8" s="29" t="inlineStr">
        <is>
          <t>CARD PAYMENT TO IBIS HOTELS</t>
        </is>
      </c>
    </row>
    <row r="9">
      <c r="A9" s="39" t="n">
        <v>45685</v>
      </c>
      <c r="B9" s="40" t="inlineStr">
        <is>
          <t>Council Tax Worthing</t>
        </is>
      </c>
      <c r="C9" s="41" t="inlineStr">
        <is>
          <t>Home &amp; utilities</t>
        </is>
      </c>
      <c r="D9" s="42" t="n">
        <v>145</v>
      </c>
      <c r="E9" s="43" t="n">
        <v>25</v>
      </c>
      <c r="F9" s="44">
        <f>ROUND(ABS(D9)*E9,0)/100</f>
        <v>36.25</v>
      </c>
      <c r="G9" s="45" t="inlineStr"/>
      <c r="H9" s="40" t="inlineStr">
        <is>
          <t>Imported statement</t>
        </is>
      </c>
      <c r="I9" s="40" t="inlineStr">
        <is>
          <t>COUNCIL TAX WORTHING BC</t>
        </is>
      </c>
    </row>
    <row r="10">
      <c r="A10" s="28" t="n">
        <v>45690</v>
      </c>
      <c r="B10" s="29" t="inlineStr">
        <is>
          <t>Red Bull Studio</t>
        </is>
      </c>
      <c r="C10" s="30" t="inlineStr">
        <is>
          <t>Studio</t>
        </is>
      </c>
      <c r="D10" s="31" t="n">
        <v>180</v>
      </c>
      <c r="E10" s="32" t="n">
        <v>100</v>
      </c>
      <c r="F10" s="33">
        <f>ROUND(ABS(D10)*E10,0)/100</f>
        <v>180</v>
      </c>
      <c r="G10" s="34" t="inlineStr"/>
      <c r="H10" s="29" t="inlineStr">
        <is>
          <t>Imported statement</t>
        </is>
      </c>
      <c r="I10" s="29" t="inlineStr">
        <is>
          <t>CARD PAYMENT TO RED BULL STUDIO</t>
        </is>
      </c>
    </row>
    <row r="11">
      <c r="A11" s="35" t="n">
        <v>45692</v>
      </c>
      <c r="B11" t="inlineStr">
        <is>
          <t>Easyjet</t>
        </is>
      </c>
      <c r="C11" s="36" t="inlineStr">
        <is>
          <t>Travel</t>
        </is>
      </c>
      <c r="D11" s="37" t="n">
        <v>64.48999999999999</v>
      </c>
      <c r="E11" s="38" t="n">
        <v>100</v>
      </c>
      <c r="F11" s="15">
        <f>ROUND(ABS(D11)*E11,0)/100</f>
        <v>64.49</v>
      </c>
      <c r="G11" s="21" t="inlineStr"/>
      <c r="H11" t="inlineStr">
        <is>
          <t>Imported statement</t>
        </is>
      </c>
      <c r="I11" t="inlineStr">
        <is>
          <t>CARD PAYMENT TO EASYJET</t>
        </is>
      </c>
    </row>
    <row r="12">
      <c r="A12" s="28" t="n">
        <v>45694</v>
      </c>
      <c r="B12" s="29" t="inlineStr">
        <is>
          <t>Andertons Music Co</t>
        </is>
      </c>
      <c r="C12" s="30" t="inlineStr">
        <is>
          <t>Equipment</t>
        </is>
      </c>
      <c r="D12" s="31" t="n">
        <v>89</v>
      </c>
      <c r="E12" s="32" t="n">
        <v>100</v>
      </c>
      <c r="F12" s="33">
        <f>ROUND(ABS(D12)*E12,0)/100</f>
        <v>89</v>
      </c>
      <c r="G12" s="34" t="inlineStr"/>
      <c r="H12" s="29" t="inlineStr">
        <is>
          <t>Imported statement</t>
        </is>
      </c>
      <c r="I12" s="29" t="inlineStr">
        <is>
          <t>CARD PAYMENT TO ANDERTONS MUSIC CO</t>
        </is>
      </c>
    </row>
    <row r="13">
      <c r="A13" s="35" t="n">
        <v>45696</v>
      </c>
      <c r="B13" t="inlineStr">
        <is>
          <t>Spotify Uk</t>
        </is>
      </c>
      <c r="C13" s="36" t="inlineStr">
        <is>
          <t>Software &amp; subs</t>
        </is>
      </c>
      <c r="D13" s="37" t="n">
        <v>11.99</v>
      </c>
      <c r="E13" s="38" t="n">
        <v>100</v>
      </c>
      <c r="F13" s="15">
        <f>ROUND(ABS(D13)*E13,0)/100</f>
        <v>11.99</v>
      </c>
      <c r="G13" s="21" t="inlineStr"/>
      <c r="H13" t="inlineStr">
        <is>
          <t>Imported statement</t>
        </is>
      </c>
      <c r="I13" t="inlineStr">
        <is>
          <t>DIRECT DEBIT SPOTIFY UK</t>
        </is>
      </c>
    </row>
    <row r="14">
      <c r="A14" s="28" t="n">
        <v>45698</v>
      </c>
      <c r="B14" s="29" t="inlineStr">
        <is>
          <t>Travelodge</t>
        </is>
      </c>
      <c r="C14" s="30" t="inlineStr">
        <is>
          <t>Accommodation</t>
        </is>
      </c>
      <c r="D14" s="31" t="n">
        <v>59</v>
      </c>
      <c r="E14" s="32" t="n">
        <v>100</v>
      </c>
      <c r="F14" s="33">
        <f>ROUND(ABS(D14)*E14,0)/100</f>
        <v>59</v>
      </c>
      <c r="G14" s="34" t="inlineStr"/>
      <c r="H14" s="29" t="inlineStr">
        <is>
          <t>Imported statement</t>
        </is>
      </c>
      <c r="I14" s="29" t="inlineStr">
        <is>
          <t>CARD PAYMENT TO TRAVELODGE</t>
        </is>
      </c>
    </row>
    <row r="15">
      <c r="A15" s="35" t="n">
        <v>45700</v>
      </c>
      <c r="B15" t="inlineStr">
        <is>
          <t>Ableton Ag</t>
        </is>
      </c>
      <c r="C15" s="36" t="inlineStr">
        <is>
          <t>Software &amp; subs</t>
        </is>
      </c>
      <c r="D15" s="37" t="n">
        <v>79</v>
      </c>
      <c r="E15" s="38" t="n">
        <v>100</v>
      </c>
      <c r="F15" s="15">
        <f>ROUND(ABS(D15)*E15,0)/100</f>
        <v>79</v>
      </c>
      <c r="G15" s="21" t="inlineStr"/>
      <c r="H15" t="inlineStr">
        <is>
          <t>Imported statement</t>
        </is>
      </c>
      <c r="I15" t="inlineStr">
        <is>
          <t>CARD PAYMENT TO ABLETON AG</t>
        </is>
      </c>
    </row>
    <row r="16">
      <c r="A16" s="39" t="n">
        <v>45703</v>
      </c>
      <c r="B16" s="40" t="inlineStr">
        <is>
          <t>Ee Limited</t>
        </is>
      </c>
      <c r="C16" s="41" t="inlineStr">
        <is>
          <t>Phone &amp; internet</t>
        </is>
      </c>
      <c r="D16" s="42" t="n">
        <v>38</v>
      </c>
      <c r="E16" s="43" t="n">
        <v>50</v>
      </c>
      <c r="F16" s="44">
        <f>ROUND(ABS(D16)*E16,0)/100</f>
        <v>19</v>
      </c>
      <c r="G16" s="45" t="inlineStr"/>
      <c r="H16" s="40" t="inlineStr">
        <is>
          <t>Imported statement</t>
        </is>
      </c>
      <c r="I16" s="40" t="inlineStr">
        <is>
          <t>DIRECT DEBIT EE LIMITED</t>
        </is>
      </c>
    </row>
    <row r="17">
      <c r="A17" s="35" t="n">
        <v>45705</v>
      </c>
      <c r="B17" t="inlineStr">
        <is>
          <t>Juno Records</t>
        </is>
      </c>
      <c r="C17" s="36" t="inlineStr">
        <is>
          <t>Equipment</t>
        </is>
      </c>
      <c r="D17" s="37" t="n">
        <v>31.5</v>
      </c>
      <c r="E17" s="38" t="n">
        <v>100</v>
      </c>
      <c r="F17" s="15">
        <f>ROUND(ABS(D17)*E17,0)/100</f>
        <v>31.5</v>
      </c>
      <c r="G17" s="21" t="inlineStr"/>
      <c r="H17" t="inlineStr">
        <is>
          <t>Imported statement</t>
        </is>
      </c>
      <c r="I17" t="inlineStr">
        <is>
          <t>CARD PAYMENT TO JUNO RECORDS</t>
        </is>
      </c>
    </row>
    <row r="18">
      <c r="A18" s="28" t="n">
        <v>45709</v>
      </c>
      <c r="B18" s="29" t="inlineStr">
        <is>
          <t>Google Ads</t>
        </is>
      </c>
      <c r="C18" s="30" t="inlineStr">
        <is>
          <t>Marketing</t>
        </is>
      </c>
      <c r="D18" s="31" t="n">
        <v>35</v>
      </c>
      <c r="E18" s="32" t="n">
        <v>100</v>
      </c>
      <c r="F18" s="33">
        <f>ROUND(ABS(D18)*E18,0)/100</f>
        <v>35</v>
      </c>
      <c r="G18" s="34" t="inlineStr"/>
      <c r="H18" s="29" t="inlineStr">
        <is>
          <t>Imported statement</t>
        </is>
      </c>
      <c r="I18" s="29" t="inlineStr">
        <is>
          <t>CARD PAYMENT TO GOOGLE ADS</t>
        </is>
      </c>
    </row>
    <row r="19">
      <c r="A19" s="35" t="n">
        <v>45711</v>
      </c>
      <c r="B19" t="inlineStr">
        <is>
          <t>Lner Trains</t>
        </is>
      </c>
      <c r="C19" s="36" t="inlineStr">
        <is>
          <t>Travel</t>
        </is>
      </c>
      <c r="D19" s="37" t="n">
        <v>78.40000000000001</v>
      </c>
      <c r="E19" s="38" t="n">
        <v>100</v>
      </c>
      <c r="F19" s="15">
        <f>ROUND(ABS(D19)*E19,0)/100</f>
        <v>78.4</v>
      </c>
      <c r="G19" s="21" t="inlineStr"/>
      <c r="H19" t="inlineStr">
        <is>
          <t>Imported statement</t>
        </is>
      </c>
      <c r="I19" t="inlineStr">
        <is>
          <t>CARD PAYMENT TO LNER TRAINS</t>
        </is>
      </c>
    </row>
    <row r="20">
      <c r="A20" s="46" t="n">
        <v>45718</v>
      </c>
      <c r="B20" s="47" t="inlineStr">
        <is>
          <t>Pioneer Dj Ltd</t>
        </is>
      </c>
      <c r="C20" s="48" t="inlineStr">
        <is>
          <t>Equipment</t>
        </is>
      </c>
      <c r="D20" s="49" t="n">
        <v>420</v>
      </c>
      <c r="E20" s="50" t="n">
        <v>100</v>
      </c>
      <c r="F20" s="51">
        <f>ROUND(ABS(D20)*E20,0)/100</f>
        <v>420</v>
      </c>
      <c r="G20" s="52" t="inlineStr">
        <is>
          <t>review</t>
        </is>
      </c>
      <c r="H20" s="47" t="inlineStr">
        <is>
          <t>Imported statement</t>
        </is>
      </c>
      <c r="I20" s="47" t="inlineStr">
        <is>
          <t>CARD PAYMENT TO PIONEER DJ LTD</t>
        </is>
      </c>
    </row>
    <row r="21">
      <c r="A21" s="35" t="n">
        <v>45721</v>
      </c>
      <c r="B21" t="inlineStr">
        <is>
          <t>Ryanair</t>
        </is>
      </c>
      <c r="C21" s="36" t="inlineStr">
        <is>
          <t>Travel</t>
        </is>
      </c>
      <c r="D21" s="37" t="n">
        <v>89.98999999999999</v>
      </c>
      <c r="E21" s="38" t="n">
        <v>100</v>
      </c>
      <c r="F21" s="15">
        <f>ROUND(ABS(D21)*E21,0)/100</f>
        <v>89.99</v>
      </c>
      <c r="G21" s="21" t="inlineStr"/>
      <c r="H21" t="inlineStr">
        <is>
          <t>Imported statement</t>
        </is>
      </c>
      <c r="I21" t="inlineStr">
        <is>
          <t>CARD PAYMENT TO RYANAIR REF 8841</t>
        </is>
      </c>
    </row>
    <row r="22">
      <c r="A22" s="28" t="n">
        <v>45722</v>
      </c>
      <c r="B22" s="29" t="inlineStr">
        <is>
          <t>Pret A Manger</t>
        </is>
      </c>
      <c r="C22" s="30" t="inlineStr">
        <is>
          <t>Meals (work)</t>
        </is>
      </c>
      <c r="D22" s="31" t="n">
        <v>8.4</v>
      </c>
      <c r="E22" s="32" t="n">
        <v>100</v>
      </c>
      <c r="F22" s="33">
        <f>ROUND(ABS(D22)*E22,0)/100</f>
        <v>8.4</v>
      </c>
      <c r="G22" s="34" t="inlineStr"/>
      <c r="H22" s="29" t="inlineStr">
        <is>
          <t>Imported statement</t>
        </is>
      </c>
      <c r="I22" s="29" t="inlineStr">
        <is>
          <t>CONTACTLESS PAYMENT PRET A MANGER</t>
        </is>
      </c>
    </row>
    <row r="23">
      <c r="A23" s="35" t="n">
        <v>45723</v>
      </c>
      <c r="B23" t="inlineStr">
        <is>
          <t>Pirate Studios</t>
        </is>
      </c>
      <c r="C23" s="36" t="inlineStr">
        <is>
          <t>Studio</t>
        </is>
      </c>
      <c r="D23" s="37" t="n">
        <v>46</v>
      </c>
      <c r="E23" s="38" t="n">
        <v>100</v>
      </c>
      <c r="F23" s="15">
        <f>ROUND(ABS(D23)*E23,0)/100</f>
        <v>46</v>
      </c>
      <c r="G23" s="21" t="inlineStr"/>
      <c r="H23" t="inlineStr">
        <is>
          <t>Imported statement</t>
        </is>
      </c>
      <c r="I23" t="inlineStr">
        <is>
          <t>CARD PAYMENT TO PIRATE STUDIOS</t>
        </is>
      </c>
    </row>
    <row r="24">
      <c r="A24" s="28" t="n">
        <v>45726</v>
      </c>
      <c r="B24" s="29" t="inlineStr">
        <is>
          <t>Beatport.com</t>
        </is>
      </c>
      <c r="C24" s="30" t="inlineStr">
        <is>
          <t>Software &amp; subs</t>
        </is>
      </c>
      <c r="D24" s="31" t="n">
        <v>23.94</v>
      </c>
      <c r="E24" s="32" t="n">
        <v>100</v>
      </c>
      <c r="F24" s="33">
        <f>ROUND(ABS(D24)*E24,0)/100</f>
        <v>23.94</v>
      </c>
      <c r="G24" s="34" t="inlineStr"/>
      <c r="H24" s="29" t="inlineStr">
        <is>
          <t>Imported statement</t>
        </is>
      </c>
      <c r="I24" s="29" t="inlineStr">
        <is>
          <t>CARD PAYMENT TO BEATPORT.COM</t>
        </is>
      </c>
    </row>
    <row r="25">
      <c r="A25" s="35" t="n">
        <v>45728</v>
      </c>
      <c r="B25" t="inlineStr">
        <is>
          <t>Premier Inn Hotels</t>
        </is>
      </c>
      <c r="C25" s="36" t="inlineStr">
        <is>
          <t>Accommodation</t>
        </is>
      </c>
      <c r="D25" s="37" t="n">
        <v>72</v>
      </c>
      <c r="E25" s="38" t="n">
        <v>100</v>
      </c>
      <c r="F25" s="15">
        <f>ROUND(ABS(D25)*E25,0)/100</f>
        <v>72</v>
      </c>
      <c r="G25" s="21" t="inlineStr"/>
      <c r="H25" t="inlineStr">
        <is>
          <t>Imported statement</t>
        </is>
      </c>
      <c r="I25" t="inlineStr">
        <is>
          <t>CARD PAYMENT TO PREMIER INN HOTELS</t>
        </is>
      </c>
    </row>
    <row r="26">
      <c r="A26" s="28" t="n">
        <v>45730</v>
      </c>
      <c r="B26" s="29" t="inlineStr">
        <is>
          <t>Trainline</t>
        </is>
      </c>
      <c r="C26" s="30" t="inlineStr">
        <is>
          <t>Travel</t>
        </is>
      </c>
      <c r="D26" s="31" t="n">
        <v>44.3</v>
      </c>
      <c r="E26" s="32" t="n">
        <v>100</v>
      </c>
      <c r="F26" s="33">
        <f>ROUND(ABS(D26)*E26,0)/100</f>
        <v>44.3</v>
      </c>
      <c r="G26" s="34" t="inlineStr"/>
      <c r="H26" s="29" t="inlineStr">
        <is>
          <t>Imported statement</t>
        </is>
      </c>
      <c r="I26" s="29" t="inlineStr">
        <is>
          <t>CARD PAYMENT TO TRAINLINE</t>
        </is>
      </c>
    </row>
    <row r="27">
      <c r="A27" s="35" t="n">
        <v>45732</v>
      </c>
      <c r="B27" t="inlineStr">
        <is>
          <t>Splice.com</t>
        </is>
      </c>
      <c r="C27" s="36" t="inlineStr">
        <is>
          <t>Software &amp; subs</t>
        </is>
      </c>
      <c r="D27" s="37" t="n">
        <v>9.99</v>
      </c>
      <c r="E27" s="38" t="n">
        <v>100</v>
      </c>
      <c r="F27" s="15">
        <f>ROUND(ABS(D27)*E27,0)/100</f>
        <v>9.99</v>
      </c>
      <c r="G27" s="21" t="inlineStr"/>
      <c r="H27" t="inlineStr">
        <is>
          <t>Imported statement</t>
        </is>
      </c>
      <c r="I27" t="inlineStr">
        <is>
          <t>CARD PAYMENT TO SPLICE.COM</t>
        </is>
      </c>
    </row>
    <row r="28">
      <c r="A28" s="28" t="n">
        <v>45733</v>
      </c>
      <c r="B28" s="29" t="inlineStr">
        <is>
          <t>Uber Trip</t>
        </is>
      </c>
      <c r="C28" s="30" t="inlineStr">
        <is>
          <t>Travel</t>
        </is>
      </c>
      <c r="D28" s="31" t="n">
        <v>18.6</v>
      </c>
      <c r="E28" s="32" t="n">
        <v>100</v>
      </c>
      <c r="F28" s="33">
        <f>ROUND(ABS(D28)*E28,0)/100</f>
        <v>18.6</v>
      </c>
      <c r="G28" s="34" t="inlineStr"/>
      <c r="H28" s="29" t="inlineStr">
        <is>
          <t>Imported statement</t>
        </is>
      </c>
      <c r="I28" s="29" t="inlineStr">
        <is>
          <t>CARD PAYMENT TO UBER TRIP</t>
        </is>
      </c>
    </row>
    <row r="29">
      <c r="A29" s="35" t="n">
        <v>45736</v>
      </c>
      <c r="B29" t="inlineStr">
        <is>
          <t>Thomann Gmbh</t>
        </is>
      </c>
      <c r="C29" s="36" t="inlineStr">
        <is>
          <t>Equipment</t>
        </is>
      </c>
      <c r="D29" s="37" t="n">
        <v>156</v>
      </c>
      <c r="E29" s="38" t="n">
        <v>100</v>
      </c>
      <c r="F29" s="15">
        <f>ROUND(ABS(D29)*E29,0)/100</f>
        <v>156</v>
      </c>
      <c r="G29" s="21" t="inlineStr"/>
      <c r="H29" t="inlineStr">
        <is>
          <t>Imported statement</t>
        </is>
      </c>
      <c r="I29" t="inlineStr">
        <is>
          <t>CARD PAYMENT TO THOMANN GMBH</t>
        </is>
      </c>
    </row>
    <row r="30">
      <c r="A30" s="28" t="n">
        <v>45738</v>
      </c>
      <c r="B30" s="29" t="inlineStr">
        <is>
          <t>Facebook Ads Meta</t>
        </is>
      </c>
      <c r="C30" s="30" t="inlineStr">
        <is>
          <t>Marketing</t>
        </is>
      </c>
      <c r="D30" s="31" t="n">
        <v>50</v>
      </c>
      <c r="E30" s="32" t="n">
        <v>100</v>
      </c>
      <c r="F30" s="33">
        <f>ROUND(ABS(D30)*E30,0)/100</f>
        <v>50</v>
      </c>
      <c r="G30" s="34" t="inlineStr"/>
      <c r="H30" s="29" t="inlineStr">
        <is>
          <t>Imported statement</t>
        </is>
      </c>
      <c r="I30" s="29" t="inlineStr">
        <is>
          <t>CARD PAYMENT TO FACEBOOK ADS *META</t>
        </is>
      </c>
    </row>
    <row r="31">
      <c r="A31" s="35" t="n">
        <v>45742</v>
      </c>
      <c r="B31" t="inlineStr">
        <is>
          <t>Adobe Systems</t>
        </is>
      </c>
      <c r="C31" s="36" t="inlineStr">
        <is>
          <t>Software &amp; subs</t>
        </is>
      </c>
      <c r="D31" s="37" t="n">
        <v>19.97</v>
      </c>
      <c r="E31" s="38" t="n">
        <v>100</v>
      </c>
      <c r="F31" s="15">
        <f>ROUND(ABS(D31)*E31,0)/100</f>
        <v>19.97</v>
      </c>
      <c r="G31" s="21" t="inlineStr"/>
      <c r="H31" t="inlineStr">
        <is>
          <t>Imported statement</t>
        </is>
      </c>
      <c r="I31" t="inlineStr">
        <is>
          <t>CARD PAYMENT TO ADOBE SYSTEMS</t>
        </is>
      </c>
    </row>
    <row r="32">
      <c r="A32" s="28" t="n">
        <v>45744</v>
      </c>
      <c r="B32" s="29" t="inlineStr">
        <is>
          <t>Airbnb Berlin</t>
        </is>
      </c>
      <c r="C32" s="30" t="inlineStr">
        <is>
          <t>Accommodation</t>
        </is>
      </c>
      <c r="D32" s="31" t="n">
        <v>140</v>
      </c>
      <c r="E32" s="32" t="n">
        <v>100</v>
      </c>
      <c r="F32" s="33">
        <f>ROUND(ABS(D32)*E32,0)/100</f>
        <v>140</v>
      </c>
      <c r="G32" s="34" t="inlineStr"/>
      <c r="H32" s="29" t="inlineStr">
        <is>
          <t>Imported statement</t>
        </is>
      </c>
      <c r="I32" s="29" t="inlineStr">
        <is>
          <t>CARD PAYMENT TO AIRBNB * BERLIN</t>
        </is>
      </c>
    </row>
    <row r="33">
      <c r="C33" s="53" t="inlineStr">
        <is>
          <t>Total selected</t>
        </is>
      </c>
      <c r="F33" s="22">
        <f>SUM(F2:F32)</f>
        <v>2182.41</v>
      </c>
    </row>
  </sheetData>
  <sheetProtection selectLockedCells="0" selectUnlockedCells="0" sheet="1" objects="0" insertRows="0" insertHyperlinks="1" autoFilter="0" scenarios="0" formatColumns="0" deleteColumns="1" insertColumns="1" pivotTables="1" deleteRows="0" formatCells="0" formatRows="0" sort="0"/>
  <dataValidations count="2">
    <dataValidation sqref="C2:C32" showDropDown="0" showInputMessage="0" showErrorMessage="1" allowBlank="0" errorTitle="Pick a Cratebooks category" error="Categories feed the SA103 boxes by exact name. Pick one from the list so the row stays in its box." type="list">
      <formula1>"Travel,Accommodation,Meals (work),Vehicle,Studio,Home &amp; utilities,Insurance,Software &amp; subs,Phone &amp; internet,Marketing,Fees &amp; commission,Accountancy &amp; legal,Equipment,Distribution,Uncategorised,Stage &amp; costume,Training &amp; development,VAT paid to HMRC"</formula1>
    </dataValidation>
    <dataValidation sqref="E2:E32" showDropDown="0" showInputMessage="0" showErrorMessage="1" allowBlank="0" errorTitle="Whole number 0 to 100" error="Enter the percent as a whole number, e.g. 50 for half. Do not type a % sign: Excel would store 50% as 0.5." type="whole" operator="between">
      <formula1>0</formula1>
      <formula2>100</formula2>
    </dataValidation>
  </dataValidations>
  <pageMargins left="0.75" right="0.75" top="1" bottom="1" header="0.5" footer="0.5"/>
  <pageSetup orientation="landscape" paperSize="9" fitToHeight="0" fitToWidth="1"/>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fitToPage="1"/>
  </sheetPr>
  <dimension ref="A1:H11"/>
  <sheetViews>
    <sheetView showGridLines="0" workbookViewId="0">
      <pane xSplit="2" ySplit="1" topLeftCell="C2" activePane="bottomRight" state="frozen"/>
      <selection pane="topRight"/>
      <selection pane="bottomLeft"/>
      <selection pane="bottomRight" activeCell="A1" sqref="A1"/>
    </sheetView>
  </sheetViews>
  <sheetFormatPr baseColWidth="8" defaultRowHeight="15"/>
  <cols>
    <col width="11" customWidth="1" min="1" max="1"/>
    <col width="28" customWidth="1" min="2" max="2"/>
    <col width="20" customWidth="1" min="3" max="3"/>
    <col width="14" customWidth="1" min="4" max="4"/>
    <col width="18" customWidth="1" min="5" max="5"/>
    <col width="10" customWidth="1" min="6" max="6"/>
    <col width="14" customWidth="1" min="7" max="7"/>
    <col width="44" customWidth="1" min="8" max="8"/>
  </cols>
  <sheetData>
    <row r="1">
      <c r="A1" s="25" t="inlineStr">
        <is>
          <t>Date</t>
        </is>
      </c>
      <c r="B1" s="26" t="inlineStr">
        <is>
          <t>Source</t>
        </is>
      </c>
      <c r="C1" s="26" t="inlineStr">
        <is>
          <t>Type</t>
        </is>
      </c>
      <c r="D1" s="27" t="inlineStr">
        <is>
          <t>Amount</t>
        </is>
      </c>
      <c r="E1" s="26" t="inlineStr">
        <is>
          <t>Account</t>
        </is>
      </c>
      <c r="F1" s="26" t="inlineStr">
        <is>
          <t>Share %</t>
        </is>
      </c>
      <c r="G1" s="26" t="inlineStr">
        <is>
          <t>Counted</t>
        </is>
      </c>
      <c r="H1" s="26" t="inlineStr">
        <is>
          <t>Description</t>
        </is>
      </c>
    </row>
    <row r="2">
      <c r="A2" s="28" t="n">
        <v>45663</v>
      </c>
      <c r="B2" s="29" t="inlineStr">
        <is>
          <t>Gig Fee Bristol</t>
        </is>
      </c>
      <c r="C2" s="30" t="inlineStr">
        <is>
          <t>Performance fees</t>
        </is>
      </c>
      <c r="D2" s="31" t="n">
        <v>400</v>
      </c>
      <c r="E2" s="29" t="inlineStr">
        <is>
          <t>Imported statement</t>
        </is>
      </c>
      <c r="F2" s="32" t="n">
        <v>100</v>
      </c>
      <c r="G2" s="33">
        <f>ROUND(ABS(D2)*F2,0)/100</f>
        <v>400</v>
      </c>
      <c r="H2" s="29" t="inlineStr">
        <is>
          <t>GIG FEE BRISTOL THEKLA</t>
        </is>
      </c>
    </row>
    <row r="3">
      <c r="A3" s="35" t="n">
        <v>45684</v>
      </c>
      <c r="B3" t="inlineStr">
        <is>
          <t>Booking Fee Wedding</t>
        </is>
      </c>
      <c r="C3" s="36" t="inlineStr">
        <is>
          <t>Performance fees</t>
        </is>
      </c>
      <c r="D3" s="37" t="n">
        <v>550</v>
      </c>
      <c r="E3" t="inlineStr">
        <is>
          <t>Imported statement</t>
        </is>
      </c>
      <c r="F3" s="38" t="n">
        <v>100</v>
      </c>
      <c r="G3" s="15">
        <f>ROUND(ABS(D3)*F3,0)/100</f>
        <v>550</v>
      </c>
      <c r="H3" t="inlineStr">
        <is>
          <t>BOOKING FEE WEDDING SET</t>
        </is>
      </c>
    </row>
    <row r="4">
      <c r="A4" s="28" t="n">
        <v>45691</v>
      </c>
      <c r="B4" s="29" t="inlineStr">
        <is>
          <t>Paypal Gig Deposit</t>
        </is>
      </c>
      <c r="C4" s="30" t="inlineStr">
        <is>
          <t>Performance fees</t>
        </is>
      </c>
      <c r="D4" s="31" t="n">
        <v>200</v>
      </c>
      <c r="E4" s="29" t="inlineStr">
        <is>
          <t>Imported statement</t>
        </is>
      </c>
      <c r="F4" s="32" t="n">
        <v>100</v>
      </c>
      <c r="G4" s="33">
        <f>ROUND(ABS(D4)*F4,0)/100</f>
        <v>200</v>
      </c>
      <c r="H4" s="29" t="inlineStr">
        <is>
          <t>PAYPAL GIG DEPOSIT MANCHESTER</t>
        </is>
      </c>
    </row>
    <row r="5">
      <c r="A5" s="35" t="n">
        <v>45699</v>
      </c>
      <c r="B5" t="inlineStr">
        <is>
          <t>Sync License Artlist</t>
        </is>
      </c>
      <c r="C5" s="36" t="inlineStr">
        <is>
          <t>Sync &amp; licensing</t>
        </is>
      </c>
      <c r="D5" s="37" t="n">
        <v>220</v>
      </c>
      <c r="E5" t="inlineStr">
        <is>
          <t>Imported statement</t>
        </is>
      </c>
      <c r="F5" s="38" t="n">
        <v>100</v>
      </c>
      <c r="G5" s="15">
        <f>ROUND(ABS(D5)*F5,0)/100</f>
        <v>220</v>
      </c>
      <c r="H5" t="inlineStr">
        <is>
          <t>SYNC LICENSE ARTLIST</t>
        </is>
      </c>
    </row>
    <row r="6">
      <c r="A6" s="28" t="n">
        <v>45701</v>
      </c>
      <c r="B6" s="29" t="inlineStr">
        <is>
          <t>1-1 Coaching Session</t>
        </is>
      </c>
      <c r="C6" s="30" t="inlineStr">
        <is>
          <t>Teaching &amp; coaching</t>
        </is>
      </c>
      <c r="D6" s="31" t="n">
        <v>75</v>
      </c>
      <c r="E6" s="29" t="inlineStr">
        <is>
          <t>Imported statement</t>
        </is>
      </c>
      <c r="F6" s="32" t="n">
        <v>100</v>
      </c>
      <c r="G6" s="33">
        <f>ROUND(ABS(D6)*F6,0)/100</f>
        <v>75</v>
      </c>
      <c r="H6" s="29" t="inlineStr">
        <is>
          <t>1-1 COACHING SESSION J SMITH</t>
        </is>
      </c>
    </row>
    <row r="7">
      <c r="A7" s="35" t="n">
        <v>45702</v>
      </c>
      <c r="B7" t="inlineStr">
        <is>
          <t>Bandcamp Sales Payout</t>
        </is>
      </c>
      <c r="C7" s="36" t="inlineStr">
        <is>
          <t>Streaming &amp; sales</t>
        </is>
      </c>
      <c r="D7" s="37" t="n">
        <v>48.3</v>
      </c>
      <c r="E7" t="inlineStr">
        <is>
          <t>Imported statement</t>
        </is>
      </c>
      <c r="F7" s="38" t="n">
        <v>100</v>
      </c>
      <c r="G7" s="15">
        <f>ROUND(ABS(D7)*F7,0)/100</f>
        <v>48.3</v>
      </c>
      <c r="H7" t="inlineStr">
        <is>
          <t>BANDCAMP SALES PAYOUT</t>
        </is>
      </c>
    </row>
    <row r="8">
      <c r="A8" s="28" t="n">
        <v>45719</v>
      </c>
      <c r="B8" s="29" t="inlineStr">
        <is>
          <t>Gig Fee Fabric</t>
        </is>
      </c>
      <c r="C8" s="30" t="inlineStr">
        <is>
          <t>Performance fees</t>
        </is>
      </c>
      <c r="D8" s="31" t="n">
        <v>650</v>
      </c>
      <c r="E8" s="29" t="inlineStr">
        <is>
          <t>Imported statement</t>
        </is>
      </c>
      <c r="F8" s="32" t="n">
        <v>100</v>
      </c>
      <c r="G8" s="33">
        <f>ROUND(ABS(D8)*F8,0)/100</f>
        <v>650</v>
      </c>
      <c r="H8" s="29" t="inlineStr">
        <is>
          <t>GIG FEE FABRIC LONDON</t>
        </is>
      </c>
    </row>
    <row r="9">
      <c r="A9" s="35" t="n">
        <v>45729</v>
      </c>
      <c r="B9" t="inlineStr">
        <is>
          <t>Distrokid Payout</t>
        </is>
      </c>
      <c r="C9" s="36" t="inlineStr">
        <is>
          <t>Streaming &amp; sales</t>
        </is>
      </c>
      <c r="D9" s="37" t="n">
        <v>64.2</v>
      </c>
      <c r="E9" t="inlineStr">
        <is>
          <t>Imported statement</t>
        </is>
      </c>
      <c r="F9" s="38" t="n">
        <v>100</v>
      </c>
      <c r="G9" s="15">
        <f>ROUND(ABS(D9)*F9,0)/100</f>
        <v>64.2</v>
      </c>
      <c r="H9" t="inlineStr">
        <is>
          <t>DISTROKID PAYOUT</t>
        </is>
      </c>
    </row>
    <row r="10">
      <c r="A10" s="28" t="n">
        <v>45731</v>
      </c>
      <c r="B10" s="29" t="inlineStr">
        <is>
          <t>Royalties Prs For</t>
        </is>
      </c>
      <c r="C10" s="30" t="inlineStr">
        <is>
          <t>Royalties</t>
        </is>
      </c>
      <c r="D10" s="31" t="n">
        <v>312.45</v>
      </c>
      <c r="E10" s="29" t="inlineStr">
        <is>
          <t>Imported statement</t>
        </is>
      </c>
      <c r="F10" s="32" t="n">
        <v>100</v>
      </c>
      <c r="G10" s="33">
        <f>ROUND(ABS(D10)*F10,0)/100</f>
        <v>312.45</v>
      </c>
      <c r="H10" s="29" t="inlineStr">
        <is>
          <t>ROYALTIES PRS FOR MUSIC</t>
        </is>
      </c>
    </row>
    <row r="11">
      <c r="C11" s="53" t="inlineStr">
        <is>
          <t>Total income</t>
        </is>
      </c>
      <c r="G11" s="22">
        <f>SUM(G2:G10)</f>
        <v>2519.95</v>
      </c>
    </row>
  </sheetData>
  <sheetProtection selectLockedCells="0" selectUnlockedCells="0" sheet="1" objects="0" insertRows="0" insertHyperlinks="1" autoFilter="0" scenarios="0" formatColumns="0" deleteColumns="1" insertColumns="1" pivotTables="1" deleteRows="0" formatCells="0" formatRows="0" sort="0"/>
  <dataValidations count="2">
    <dataValidation sqref="C2:C10" showDropDown="0" showInputMessage="0" showErrorMessage="1" allowBlank="0" errorTitle="Pick an income type" error="Pick an income type from the list." type="list">
      <formula1>"Performance fees,Royalties,Streaming &amp; sales,Sync &amp; licensing,Merch,Teaching &amp; coaching,Platform payouts,Other income"</formula1>
    </dataValidation>
    <dataValidation sqref="F2:F10" showDropDown="0" showInputMessage="0" showErrorMessage="1" allowBlank="0" errorTitle="Whole number 0 to 100" error="Enter the share as a whole number, e.g. 50 for half. Do not type a % sign: Excel would store 50% as 0.5." type="whole" operator="between">
      <formula1>0</formula1>
      <formula2>100</formula2>
    </dataValidation>
  </dataValidations>
  <pageMargins left="0.75" right="0.75" top="1" bottom="1" header="0.5" footer="0.5"/>
  <pageSetup orientation="landscape" paperSize="9" fitToHeight="0" fitToWidth="1"/>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B46"/>
  <sheetViews>
    <sheetView showGridLines="0" workbookViewId="0">
      <selection activeCell="A1" sqref="A1"/>
    </sheetView>
  </sheetViews>
  <sheetFormatPr baseColWidth="8" defaultRowHeight="15"/>
  <cols>
    <col width="54" customWidth="1" min="1" max="1"/>
    <col width="16" customWidth="1" min="2" max="2"/>
  </cols>
  <sheetData>
    <row r="1">
      <c r="A1" s="54" t="inlineStr">
        <is>
          <r>
            <rPr>
              <rFont val="Calibri"/>
              <b val="1"/>
              <color rgb="001C1A17"/>
              <sz val="16"/>
            </rPr>
            <t>CRATE</t>
          </r>
          <r>
            <rPr>
              <rFont val="Calibri"/>
              <b val="1"/>
              <color rgb="00E1442A"/>
              <sz val="16"/>
            </rPr>
            <t>BOOKS</t>
          </r>
          <r>
            <rPr>
              <rFont val="Calibri"/>
              <b val="1"/>
              <color rgb="001C1A17"/>
              <sz val="16"/>
            </rPr>
            <t xml:space="preserve"> - TAX CATEGORY GUIDE</t>
          </r>
        </is>
      </c>
    </row>
    <row r="2">
      <c r="A2" s="55" t="inlineStr">
        <is>
          <t>SAMPLE DATA - Jan to Mar 2025, not real figures</t>
        </is>
      </c>
    </row>
    <row r="3" ht="43" customHeight="1">
      <c r="A3" s="16" t="inlineStr">
        <is>
          <t>Review guide only. Traditional accounting may require adjustments that cannot be inferred from paid statement transactions, so this sheet is not filing-ready.</t>
        </is>
      </c>
    </row>
    <row r="4"/>
    <row r="5"/>
    <row r="6">
      <c r="A6" s="53" t="inlineStr">
        <is>
          <t>Turnover (total business income)</t>
        </is>
      </c>
      <c r="B6" s="22">
        <f>Income!G11</f>
        <v>2519.95</v>
      </c>
    </row>
    <row r="7"/>
    <row r="8">
      <c r="A8" s="53" t="inlineStr">
        <is>
          <t>SA103F expense category guide</t>
        </is>
      </c>
    </row>
    <row r="9">
      <c r="A9" t="inlineStr">
        <is>
          <t>Box 20 - Car, van and travel expenses</t>
        </is>
      </c>
      <c r="B9" s="15">
        <f>SUMIFS(Expenses!$F$2:$F$32,Expenses!$C$2:$C$32,"Travel",Expenses!$G$2:$G$32,"&lt;&gt;review")+SUMIFS(Expenses!$F$2:$F$32,Expenses!$C$2:$C$32,"Accommodation",Expenses!$G$2:$G$32,"&lt;&gt;review")+SUMIFS(Expenses!$F$2:$F$32,Expenses!$C$2:$C$32,"Meals (work)",Expenses!$G$2:$G$32,"&lt;&gt;review")+SUMIFS(Expenses!$F$2:$F$32,Expenses!$C$2:$C$32,"Vehicle",Expenses!$G$2:$G$32,"&lt;&gt;review")</f>
        <v>714.78</v>
      </c>
    </row>
    <row r="10">
      <c r="A10" t="inlineStr">
        <is>
          <t>Box 21 - Rent, rates, power and insurance</t>
        </is>
      </c>
      <c r="B10" s="15">
        <f>SUMIFS(Expenses!$F$2:$F$32,Expenses!$C$2:$C$32,"Studio",Expenses!$G$2:$G$32,"&lt;&gt;review")+SUMIFS(Expenses!$F$2:$F$32,Expenses!$C$2:$C$32,"Home &amp; utilities",Expenses!$G$2:$G$32,"&lt;&gt;review")+SUMIFS(Expenses!$F$2:$F$32,Expenses!$C$2:$C$32,"Insurance",Expenses!$G$2:$G$32,"&lt;&gt;review")</f>
        <v>286.25</v>
      </c>
    </row>
    <row r="11">
      <c r="A11" t="inlineStr">
        <is>
          <t>Box 23 - Phone, stationery and other office costs</t>
        </is>
      </c>
      <c r="B11" s="15">
        <f>SUMIFS(Expenses!$F$2:$F$32,Expenses!$C$2:$C$32,"Software &amp; subs",Expenses!$G$2:$G$32,"&lt;&gt;review")+SUMIFS(Expenses!$F$2:$F$32,Expenses!$C$2:$C$32,"Phone &amp; internet",Expenses!$G$2:$G$32,"&lt;&gt;review")</f>
        <v>187.88</v>
      </c>
    </row>
    <row r="12">
      <c r="A12" t="inlineStr">
        <is>
          <t>Box 24 - Advertising and business entertainment</t>
        </is>
      </c>
      <c r="B12" s="15">
        <f>SUMIFS(Expenses!$F$2:$F$32,Expenses!$C$2:$C$32,"Marketing",Expenses!$G$2:$G$32,"&lt;&gt;review")</f>
        <v>85</v>
      </c>
    </row>
    <row r="13">
      <c r="A13" t="inlineStr">
        <is>
          <t>Box 26 - Bank, credit card and other financial charges</t>
        </is>
      </c>
      <c r="B13" s="15">
        <f>SUMIFS(Expenses!$F$2:$F$32,Expenses!$C$2:$C$32,"Fees &amp; commission",Expenses!$G$2:$G$32,"&lt;&gt;review")</f>
        <v>0</v>
      </c>
    </row>
    <row r="14">
      <c r="A14" t="inlineStr">
        <is>
          <t>Box 28 - Accountancy, legal and other professional fees</t>
        </is>
      </c>
      <c r="B14" s="15">
        <f>SUMIFS(Expenses!$F$2:$F$32,Expenses!$C$2:$C$32,"Accountancy &amp; legal",Expenses!$G$2:$G$32,"&lt;&gt;review")</f>
        <v>0</v>
      </c>
    </row>
    <row r="15">
      <c r="A15" t="inlineStr">
        <is>
          <t>Box 30 - Other business expenses</t>
        </is>
      </c>
      <c r="B15" s="15">
        <f>SUMIFS(Expenses!$F$2:$F$32,Expenses!$C$2:$C$32,"Equipment",Expenses!$G$2:$G$32,"&lt;&gt;review")+SUMIFS(Expenses!$F$2:$F$32,Expenses!$C$2:$C$32,"Distribution",Expenses!$G$2:$G$32,"&lt;&gt;review")+SUMIFS(Expenses!$F$2:$F$32,Expenses!$C$2:$C$32,"Uncategorised",Expenses!$G$2:$G$32,"&lt;&gt;review")+SUMIFS(Expenses!$F$2:$F$32,Expenses!$C$2:$C$32,"Stage &amp; costume",Expenses!$G$2:$G$32,"&lt;&gt;review")+SUMIFS(Expenses!$F$2:$F$32,Expenses!$C$2:$C$32,"Training &amp; development",Expenses!$G$2:$G$32,"&lt;&gt;review")+SUMIFS(Expenses!$F$2:$F$32,Expenses!$C$2:$C$32,"VAT paid to HMRC",Expenses!$G$2:$G$32,"&lt;&gt;review")</f>
        <v>488.5</v>
      </c>
    </row>
    <row r="16">
      <c r="A16" s="55" t="inlineStr">
        <is>
          <t>Box 24.2 - Business entertainment (not allowable)</t>
        </is>
      </c>
      <c r="B16" s="15" t="n">
        <v>0</v>
      </c>
    </row>
    <row r="17">
      <c r="A17" s="53" t="inlineStr">
        <is>
          <t>Total of the category guide above</t>
        </is>
      </c>
      <c r="B17" s="22">
        <f>SUM(B9:B15)</f>
        <v>1762.41</v>
      </c>
    </row>
    <row r="18"/>
    <row r="19">
      <c r="A19" s="53" t="inlineStr">
        <is>
          <t>Net on mapped categories only</t>
        </is>
      </c>
      <c r="B19" s="22">
        <f>B6-B17</f>
        <v>757.54</v>
      </c>
    </row>
    <row r="20">
      <c r="A20" t="inlineStr">
        <is>
          <t>Larger equipment held for review, not mapped automatically</t>
        </is>
      </c>
      <c r="B20" s="15">
        <f>SUMIF(Expenses!$G$2:$G$32,"review",Expenses!$F$2:$F$32)</f>
        <v>420</v>
      </c>
    </row>
    <row r="21" ht="30" customHeight="1">
      <c r="A21" s="16" t="inlineStr">
        <is>
          <t>No deduction is applied automatically. Confirm the treatment before filing.</t>
        </is>
      </c>
    </row>
    <row r="22"/>
    <row r="23" ht="43" customHeight="1">
      <c r="A23" s="16" t="inlineStr">
        <is>
          <t>Do not submit this guide directly. Ask your accountant to adjust it for invoices, bills, stock, accruals, prepayments and the final treatment of larger equipment before filing.</t>
        </is>
      </c>
    </row>
    <row r="24"/>
    <row r="25" ht="56" customHeight="1">
      <c r="A25" s="16" t="inlineStr">
        <is>
          <t>These figures use standard MTD update periods beginning on 6 April. Calendar update periods are not currently supported. Pick 'To Q1', 'To Q2' or 'To Q3' for cumulative year-to-date figures, or the full tax year for an annual record.</t>
        </is>
      </c>
    </row>
    <row r="26"/>
    <row r="27" ht="43" customHeight="1">
      <c r="A27" s="16" t="inlineStr">
        <is>
          <t>Traditional accounting selected: this statement-led export may still need year-end adjustments for invoices, bills, stock, accruals, prepayments and larger equipment.</t>
        </is>
      </c>
    </row>
    <row r="28"/>
    <row r="29" ht="56" customHeight="1">
      <c r="A29" s="16" t="inlineStr">
        <is>
          <t>Cratebooks is a preparation aid, not tax advice, and does not file your return. You are responsible for the accuracy and completeness of what you submit to HMRC. Check the figures, and take professional advice if you are unsure.</t>
        </is>
      </c>
    </row>
    <row r="30"/>
    <row r="31">
      <c r="A31" s="53" t="inlineStr">
        <is>
          <t>SA103F gross / disallowable split (constant cell addresses)</t>
        </is>
      </c>
    </row>
    <row r="32">
      <c r="A32" s="55" t="inlineStr">
        <is>
          <t>Gross, box 20 - Car, van and travel expenses</t>
        </is>
      </c>
      <c r="B32" s="15">
        <f>SUMPRODUCT((Expenses!$C$2:$C$32="Travel")*(Expenses!$G$2:$G$32&lt;&gt;"review")*ABS(Expenses!$D$2:$D$32))+SUMPRODUCT((Expenses!$C$2:$C$32="Accommodation")*(Expenses!$G$2:$G$32&lt;&gt;"review")*ABS(Expenses!$D$2:$D$32))+SUMPRODUCT((Expenses!$C$2:$C$32="Meals (work)")*(Expenses!$G$2:$G$32&lt;&gt;"review")*ABS(Expenses!$D$2:$D$32))+SUMPRODUCT((Expenses!$C$2:$C$32="Vehicle")*(Expenses!$G$2:$G$32&lt;&gt;"review")*ABS(Expenses!$D$2:$D$32))</f>
        <v>714.78</v>
      </c>
    </row>
    <row r="33">
      <c r="A33" s="55" t="inlineStr">
        <is>
          <t>Gross, box 21 - Rent, rates, power and insurance</t>
        </is>
      </c>
      <c r="B33" s="15">
        <f>SUMPRODUCT((Expenses!$C$2:$C$32="Studio")*(Expenses!$G$2:$G$32&lt;&gt;"review")*ABS(Expenses!$D$2:$D$32))+SUMPRODUCT((Expenses!$C$2:$C$32="Home &amp; utilities")*(Expenses!$G$2:$G$32&lt;&gt;"review")*ABS(Expenses!$D$2:$D$32))+SUMPRODUCT((Expenses!$C$2:$C$32="Insurance")*(Expenses!$G$2:$G$32&lt;&gt;"review")*ABS(Expenses!$D$2:$D$32))</f>
        <v>467</v>
      </c>
    </row>
    <row r="34">
      <c r="A34" s="55" t="inlineStr">
        <is>
          <t>Gross, box 23 - Phone, stationery and other office costs</t>
        </is>
      </c>
      <c r="B34" s="15">
        <f>SUMPRODUCT((Expenses!$C$2:$C$32="Software &amp; subs")*(Expenses!$G$2:$G$32&lt;&gt;"review")*ABS(Expenses!$D$2:$D$32))+SUMPRODUCT((Expenses!$C$2:$C$32="Phone &amp; internet")*(Expenses!$G$2:$G$32&lt;&gt;"review")*ABS(Expenses!$D$2:$D$32))</f>
        <v>206.88</v>
      </c>
    </row>
    <row r="35">
      <c r="A35" s="55" t="inlineStr">
        <is>
          <t>Gross, box 24 - Advertising and business entertainment</t>
        </is>
      </c>
      <c r="B35" s="15">
        <f>SUMPRODUCT((Expenses!$C$2:$C$32="Marketing")*(Expenses!$G$2:$G$32&lt;&gt;"review")*ABS(Expenses!$D$2:$D$32))</f>
        <v>85</v>
      </c>
    </row>
    <row r="36">
      <c r="A36" s="55" t="inlineStr">
        <is>
          <t>Gross, box 26 - Bank, credit card and other financial charges</t>
        </is>
      </c>
      <c r="B36" s="15">
        <f>SUMPRODUCT((Expenses!$C$2:$C$32="Fees &amp; commission")*(Expenses!$G$2:$G$32&lt;&gt;"review")*ABS(Expenses!$D$2:$D$32))</f>
        <v>0</v>
      </c>
    </row>
    <row r="37">
      <c r="A37" s="55" t="inlineStr">
        <is>
          <t>Gross, box 28 - Accountancy, legal and other professional fees</t>
        </is>
      </c>
      <c r="B37" s="15">
        <f>SUMPRODUCT((Expenses!$C$2:$C$32="Accountancy &amp; legal")*(Expenses!$G$2:$G$32&lt;&gt;"review")*ABS(Expenses!$D$2:$D$32))</f>
        <v>0</v>
      </c>
    </row>
    <row r="38">
      <c r="A38" s="55" t="inlineStr">
        <is>
          <t>Gross, box 30 - Other business expenses</t>
        </is>
      </c>
      <c r="B38" s="15">
        <f>SUMPRODUCT((Expenses!$C$2:$C$32="Equipment")*(Expenses!$G$2:$G$32&lt;&gt;"review")*ABS(Expenses!$D$2:$D$32))+SUMPRODUCT((Expenses!$C$2:$C$32="Distribution")*(Expenses!$G$2:$G$32&lt;&gt;"review")*ABS(Expenses!$D$2:$D$32))+SUMPRODUCT((Expenses!$C$2:$C$32="Uncategorised")*(Expenses!$G$2:$G$32&lt;&gt;"review")*ABS(Expenses!$D$2:$D$32))+SUMPRODUCT((Expenses!$C$2:$C$32="Stage &amp; costume")*(Expenses!$G$2:$G$32&lt;&gt;"review")*ABS(Expenses!$D$2:$D$32))+SUMPRODUCT((Expenses!$C$2:$C$32="Training &amp; development")*(Expenses!$G$2:$G$32&lt;&gt;"review")*ABS(Expenses!$D$2:$D$32))+SUMPRODUCT((Expenses!$C$2:$C$32="VAT paid to HMRC")*(Expenses!$G$2:$G$32&lt;&gt;"review")*ABS(Expenses!$D$2:$D$32))</f>
        <v>488.5</v>
      </c>
    </row>
    <row r="39"/>
    <row r="40">
      <c r="A40" s="55" t="inlineStr">
        <is>
          <t>Disallowable, box 20 - Car, van and travel expenses</t>
        </is>
      </c>
      <c r="B40" s="15">
        <f>B32-B9</f>
        <v>0</v>
      </c>
    </row>
    <row r="41">
      <c r="A41" s="55" t="inlineStr">
        <is>
          <t>Disallowable, box 21 - Rent, rates, power and insurance</t>
        </is>
      </c>
      <c r="B41" s="15">
        <f>B33-B10</f>
        <v>180.75</v>
      </c>
    </row>
    <row r="42">
      <c r="A42" s="55" t="inlineStr">
        <is>
          <t>Disallowable, box 23 - Phone, stationery and other office costs</t>
        </is>
      </c>
      <c r="B42" s="15">
        <f>B34-B11</f>
        <v>19</v>
      </c>
    </row>
    <row r="43">
      <c r="A43" s="55" t="inlineStr">
        <is>
          <t>Disallowable, box 24 - Advertising and business entertainment</t>
        </is>
      </c>
      <c r="B43" s="15">
        <f>B35-B12</f>
        <v>0</v>
      </c>
    </row>
    <row r="44">
      <c r="A44" s="55" t="inlineStr">
        <is>
          <t>Disallowable, box 26 - Bank, credit card and other financial charges</t>
        </is>
      </c>
      <c r="B44" s="15">
        <f>B36-B13</f>
        <v>0</v>
      </c>
    </row>
    <row r="45">
      <c r="A45" s="55" t="inlineStr">
        <is>
          <t>Disallowable, box 28 - Accountancy, legal and other professional fees</t>
        </is>
      </c>
      <c r="B45" s="15">
        <f>B37-B14</f>
        <v>0</v>
      </c>
    </row>
    <row r="46">
      <c r="A46" s="55" t="inlineStr">
        <is>
          <t>Disallowable, box 30 - Other business expenses</t>
        </is>
      </c>
      <c r="B46" s="15">
        <f>B38-B15</f>
        <v>0</v>
      </c>
    </row>
  </sheetData>
  <sheetProtection selectLockedCells="0" selectUnlockedCells="0" sheet="1" objects="0" insertRows="1" insertHyperlinks="1" autoFilter="1" scenarios="0" formatColumns="0" deleteColumns="1" insertColumns="1" pivotTables="1" deleteRows="1" formatCells="0" formatRows="0" sort="1"/>
  <mergeCells count="6">
    <mergeCell ref="A21:B21"/>
    <mergeCell ref="A29:B29"/>
    <mergeCell ref="A25:B25"/>
    <mergeCell ref="A23:B23"/>
    <mergeCell ref="A27:B27"/>
    <mergeCell ref="A3:B3"/>
  </mergeCells>
  <pageMargins left="0.75" right="0.75" top="1" bottom="1"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2026-07-28T20:51:48Z</dcterms:created>
  <dcterms:modified xsi:type="dcterms:W3CDTF">2026-07-28T20:51:48Z</dcterms:modified>
</cp:coreProperties>
</file>